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autoCompressPictures="0"/>
  <mc:AlternateContent xmlns:mc="http://schemas.openxmlformats.org/markup-compatibility/2006">
    <mc:Choice Requires="x15">
      <x15ac:absPath xmlns:x15ac="http://schemas.microsoft.com/office/spreadsheetml/2010/11/ac" url="R:\Quoting Tools\"/>
    </mc:Choice>
  </mc:AlternateContent>
  <xr:revisionPtr revIDLastSave="0" documentId="8_{A099E643-5BC5-431B-96B9-1E16E0C42C73}" xr6:coauthVersionLast="45" xr6:coauthVersionMax="45" xr10:uidLastSave="{00000000-0000-0000-0000-000000000000}"/>
  <workbookProtection workbookAlgorithmName="SHA-512" workbookHashValue="MJb1+kwzZCF1qDzTQueXlmmnMdsbRf3wBWYE807altThKpKRAXrVxJpHo/6RG8cAAQITryviEIdMJOsBl2GpxQ==" workbookSaltValue="xwbixlmMq93kmwbv3qFUfw==" workbookSpinCount="100000" lockStructure="1"/>
  <bookViews>
    <workbookView xWindow="-120" yWindow="-120" windowWidth="29040" windowHeight="15840" xr2:uid="{00000000-000D-0000-FFFF-FFFF00000000}"/>
  </bookViews>
  <sheets>
    <sheet name="Single Premium Calculator" sheetId="3" r:id="rId1"/>
    <sheet name="Life Rates" sheetId="4" r:id="rId2"/>
    <sheet name="Calculations" sheetId="1" r:id="rId3"/>
    <sheet name="Disability Rate Table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3" l="1"/>
  <c r="J30" i="1"/>
  <c r="J29" i="1"/>
  <c r="C42" i="1" l="1"/>
  <c r="C17" i="1"/>
  <c r="C28" i="1"/>
  <c r="C27" i="1" s="1"/>
  <c r="C31" i="1" s="1"/>
  <c r="C32" i="1" s="1"/>
  <c r="C47" i="1"/>
  <c r="C43" i="1" s="1"/>
  <c r="C49" i="1" s="1"/>
  <c r="C45" i="1"/>
  <c r="C46" i="1"/>
  <c r="C44" i="1"/>
  <c r="C63" i="1"/>
  <c r="C2" i="1"/>
  <c r="C4" i="1"/>
  <c r="C5" i="1"/>
  <c r="C20" i="1"/>
  <c r="D23" i="1"/>
  <c r="D13" i="1"/>
  <c r="D17" i="1"/>
  <c r="C54" i="1"/>
  <c r="E2" i="3"/>
  <c r="C6" i="1"/>
  <c r="C16" i="1"/>
  <c r="D16" i="1" s="1"/>
  <c r="D20" i="1"/>
  <c r="C14" i="1"/>
  <c r="C21" i="1"/>
  <c r="C22" i="1"/>
  <c r="D21" i="1"/>
  <c r="D22" i="1"/>
  <c r="C55" i="1" l="1"/>
  <c r="C68" i="1"/>
  <c r="D28" i="1"/>
  <c r="D30" i="1" s="1"/>
  <c r="D14" i="1" s="1"/>
  <c r="C30" i="1"/>
  <c r="D27" i="1"/>
  <c r="D60" i="1" s="1"/>
  <c r="D61" i="1" s="1"/>
  <c r="C7" i="1"/>
  <c r="C48" i="1"/>
  <c r="F7" i="3"/>
  <c r="G2" i="1"/>
  <c r="G3" i="1" s="1"/>
  <c r="D7" i="1"/>
  <c r="F3" i="3"/>
  <c r="C37" i="1" l="1"/>
  <c r="C50" i="1"/>
  <c r="C53" i="1" s="1"/>
  <c r="F15" i="3" s="1"/>
  <c r="C52" i="1"/>
  <c r="D52" i="1" s="1"/>
  <c r="D29" i="1" s="1"/>
  <c r="G8" i="1"/>
  <c r="G9" i="1" s="1"/>
  <c r="A11" i="3"/>
  <c r="C18" i="1" l="1"/>
  <c r="C34" i="1" s="1"/>
  <c r="G10" i="1"/>
  <c r="G11" i="1" s="1"/>
  <c r="H8" i="1" s="1"/>
  <c r="H9" i="1" s="1"/>
  <c r="H10" i="1" s="1"/>
  <c r="H11" i="1" s="1"/>
  <c r="I8" i="1" s="1"/>
  <c r="I9" i="1" s="1"/>
  <c r="I10" i="1" s="1"/>
  <c r="I11" i="1" s="1"/>
  <c r="J8" i="1" s="1"/>
  <c r="J9" i="1" s="1"/>
  <c r="J10" i="1" s="1"/>
  <c r="J11" i="1" s="1"/>
  <c r="K8" i="1" s="1"/>
  <c r="K9" i="1" s="1"/>
  <c r="K10" i="1" s="1"/>
  <c r="K11" i="1" s="1"/>
  <c r="L8" i="1" s="1"/>
  <c r="L9" i="1" s="1"/>
  <c r="L10" i="1" s="1"/>
  <c r="L11" i="1" s="1"/>
  <c r="M8" i="1" s="1"/>
  <c r="D10" i="1" s="1"/>
  <c r="C19" i="1"/>
  <c r="C15" i="1" s="1"/>
  <c r="C36" i="1" s="1"/>
  <c r="C26" i="1"/>
  <c r="D53" i="1"/>
  <c r="F12" i="3"/>
  <c r="A10" i="3" s="1"/>
  <c r="C33" i="1" l="1"/>
  <c r="C35" i="1" s="1"/>
  <c r="G5" i="1" s="1"/>
  <c r="M9" i="1"/>
  <c r="M10" i="1" s="1"/>
  <c r="G4" i="1"/>
  <c r="G6" i="1" l="1"/>
  <c r="H2" i="1" s="1"/>
  <c r="H3" i="1" s="1"/>
  <c r="H4" i="1" s="1"/>
  <c r="M11" i="1"/>
  <c r="D56" i="1"/>
  <c r="H5" i="1" l="1"/>
  <c r="H6" i="1" s="1"/>
  <c r="I2" i="1" s="1"/>
  <c r="D9" i="1"/>
  <c r="D12" i="1"/>
  <c r="I3" i="1" l="1"/>
  <c r="I5" i="1" s="1"/>
  <c r="I4" i="1" l="1"/>
  <c r="I6" i="1" s="1"/>
  <c r="J2" i="1" s="1"/>
  <c r="J3" i="1" s="1"/>
  <c r="J5" i="1" s="1"/>
  <c r="J4" i="1" l="1"/>
  <c r="J6" i="1" s="1"/>
  <c r="K2" i="1" s="1"/>
  <c r="K3" i="1" s="1"/>
  <c r="K4" i="1"/>
  <c r="K5" i="1"/>
  <c r="K6" i="1" l="1"/>
  <c r="L2" i="1" s="1"/>
  <c r="L3" i="1" s="1"/>
  <c r="L4" i="1" s="1"/>
  <c r="L5" i="1" l="1"/>
  <c r="L6" i="1" s="1"/>
  <c r="M2" i="1" s="1"/>
  <c r="C10" i="1" l="1"/>
  <c r="F6" i="3" s="1"/>
  <c r="M3" i="1"/>
  <c r="F2" i="3"/>
  <c r="M5" i="1" l="1"/>
  <c r="M4" i="1"/>
  <c r="C58" i="1"/>
  <c r="F17" i="3" s="1"/>
  <c r="C57" i="1" l="1"/>
  <c r="F16" i="3" s="1"/>
  <c r="F14" i="3"/>
  <c r="C59" i="1"/>
  <c r="F18" i="3" s="1"/>
  <c r="F19" i="3" s="1"/>
  <c r="F11" i="3"/>
  <c r="C56" i="1"/>
  <c r="F13" i="3" s="1"/>
  <c r="M6" i="1"/>
  <c r="C9" i="1" l="1"/>
  <c r="C11" i="1"/>
  <c r="F4" i="3" l="1"/>
  <c r="C12" i="1"/>
  <c r="F5" i="3" s="1"/>
</calcChain>
</file>

<file path=xl/sharedStrings.xml><?xml version="1.0" encoding="utf-8"?>
<sst xmlns="http://schemas.openxmlformats.org/spreadsheetml/2006/main" count="171" uniqueCount="149">
  <si>
    <t>A</t>
  </si>
  <si>
    <t>Amount of Loan</t>
  </si>
  <si>
    <t>P</t>
  </si>
  <si>
    <t>F1</t>
  </si>
  <si>
    <t>Fee added to Amount Financed</t>
  </si>
  <si>
    <t>F2</t>
  </si>
  <si>
    <t>Fee that leaves Amount Financed unchanged</t>
  </si>
  <si>
    <t>F3</t>
  </si>
  <si>
    <t>Fee that is subtracted from Amount Financed</t>
  </si>
  <si>
    <t>AB</t>
  </si>
  <si>
    <t>Amount Borrowed (A+F1+F2)</t>
  </si>
  <si>
    <t>AF</t>
  </si>
  <si>
    <t>Amount Financed</t>
  </si>
  <si>
    <t>AFF</t>
  </si>
  <si>
    <t>Amount Financed Disclosed</t>
  </si>
  <si>
    <t>TP</t>
  </si>
  <si>
    <t>Total of Payments</t>
  </si>
  <si>
    <t>TI</t>
  </si>
  <si>
    <t>Total Interest</t>
  </si>
  <si>
    <t>FC</t>
  </si>
  <si>
    <t>Financed Charge</t>
  </si>
  <si>
    <t>CYR</t>
  </si>
  <si>
    <t>Number of days in calendar year (360/365)</t>
  </si>
  <si>
    <t>SP</t>
  </si>
  <si>
    <t>Disability Rate</t>
  </si>
  <si>
    <t>Single Premium Life Rate per $100 per year</t>
  </si>
  <si>
    <t>f</t>
  </si>
  <si>
    <t>Number of days to first payment</t>
  </si>
  <si>
    <t>n</t>
  </si>
  <si>
    <t>APR</t>
  </si>
  <si>
    <t>Annual Interest Rate (use whole number: i.e. 12%=12)</t>
  </si>
  <si>
    <t xml:space="preserve">I" </t>
  </si>
  <si>
    <t>Daily Interest Rate (APR/CYD/100)</t>
  </si>
  <si>
    <t>ODD</t>
  </si>
  <si>
    <t>Odd Day Factor (1+f x I")</t>
  </si>
  <si>
    <t>MBL</t>
  </si>
  <si>
    <t>Maximum Benefit for Life</t>
  </si>
  <si>
    <t>MMD</t>
  </si>
  <si>
    <t>Maximum Monthly for Disability</t>
  </si>
  <si>
    <t>AMD</t>
  </si>
  <si>
    <t>Aggregate Maximum for Disability</t>
  </si>
  <si>
    <t xml:space="preserve">MBD </t>
  </si>
  <si>
    <t>Maximum Benefit for Disability</t>
  </si>
  <si>
    <t>v</t>
  </si>
  <si>
    <t>A Angle T"</t>
  </si>
  <si>
    <t>Variable</t>
  </si>
  <si>
    <t>Definition</t>
  </si>
  <si>
    <t>i2</t>
  </si>
  <si>
    <t>Periodic Interest Rate (APR/CYR/100)</t>
  </si>
  <si>
    <t>t</t>
  </si>
  <si>
    <t>FR</t>
  </si>
  <si>
    <t>Payment Frequency (12,24,26,or 52 payments per year)</t>
  </si>
  <si>
    <t>l_rate</t>
  </si>
  <si>
    <t>adjust</t>
  </si>
  <si>
    <t>dn</t>
  </si>
  <si>
    <t>MBD</t>
  </si>
  <si>
    <t>Iteration 1</t>
  </si>
  <si>
    <t>Iteration 2</t>
  </si>
  <si>
    <t>Iteration 3</t>
  </si>
  <si>
    <t>Iteration 4</t>
  </si>
  <si>
    <t>D</t>
  </si>
  <si>
    <t>L</t>
  </si>
  <si>
    <t>cl</t>
  </si>
  <si>
    <t>Coverage Term for life in months (lesser of Loan Term, or number of months until insured reaches age 70)</t>
  </si>
  <si>
    <t>cd</t>
  </si>
  <si>
    <t>Coverage Term for disability  in months (lesser of Loan Term, or number of months until insured reaches age 70)</t>
  </si>
  <si>
    <t>Minnesota Life Insurance Company</t>
  </si>
  <si>
    <t>Credit Disability</t>
  </si>
  <si>
    <t>Single Premium Rates per $100</t>
  </si>
  <si>
    <t>14 Day Retroactive</t>
  </si>
  <si>
    <t>Months in Term</t>
  </si>
  <si>
    <t>S.P. Rate /$100</t>
  </si>
  <si>
    <t>Credit Disability Single Premium Rates</t>
  </si>
  <si>
    <t>Disability Rate per $100 for term cd months</t>
  </si>
  <si>
    <t>Iteration 5</t>
  </si>
  <si>
    <t>Iteration 6</t>
  </si>
  <si>
    <t>Iteration 7</t>
  </si>
  <si>
    <t>Loan Effective Date</t>
  </si>
  <si>
    <t>First Payment Date</t>
  </si>
  <si>
    <t>Interest Rate</t>
  </si>
  <si>
    <t>Payment Frequency</t>
  </si>
  <si>
    <t>Applicant DOB</t>
  </si>
  <si>
    <t>Co-Applicant DOB</t>
  </si>
  <si>
    <t>Life Termination Age</t>
  </si>
  <si>
    <t>Disability Termination Age</t>
  </si>
  <si>
    <t xml:space="preserve">Life Maximum Eligability Age </t>
  </si>
  <si>
    <t xml:space="preserve">Disability Maximum Eligability Age </t>
  </si>
  <si>
    <t>Applicatant Age at Effective Date</t>
  </si>
  <si>
    <t>Applicant Life Age Out Date</t>
  </si>
  <si>
    <t>Co-Applicant Age at Effective Date</t>
  </si>
  <si>
    <t>Applicant Disabiilty Age Out Date</t>
  </si>
  <si>
    <t>Co-Applicatant Life Age Out Date</t>
  </si>
  <si>
    <t>Max Life Coverage Term</t>
  </si>
  <si>
    <t>Max Disability Coverage Term</t>
  </si>
  <si>
    <t xml:space="preserve"> Disability Coverage Term</t>
  </si>
  <si>
    <t>Applicant Life Coverage Term</t>
  </si>
  <si>
    <t xml:space="preserve"> Co-Applicant Life Coverage Term</t>
  </si>
  <si>
    <t>Loan Amount</t>
  </si>
  <si>
    <t>Fee Added to Loan and Deducted from Proceeds</t>
  </si>
  <si>
    <t>Fee Added to Loan and Financed</t>
  </si>
  <si>
    <t>Prepaid Fee Not added to Loan</t>
  </si>
  <si>
    <t>Fees</t>
  </si>
  <si>
    <t>Loan Term</t>
  </si>
  <si>
    <t>Life Coverage</t>
  </si>
  <si>
    <t>Disability Coverage</t>
  </si>
  <si>
    <t>Single Life Under 15k</t>
  </si>
  <si>
    <t>Joint Life Under 15K</t>
  </si>
  <si>
    <t>Joint Life Over 15K</t>
  </si>
  <si>
    <t>Single Life Over 15k</t>
  </si>
  <si>
    <t>Decreasing Life</t>
  </si>
  <si>
    <t xml:space="preserve">Level Life </t>
  </si>
  <si>
    <t>Single</t>
  </si>
  <si>
    <t>Credit Protection Coverage</t>
  </si>
  <si>
    <t>Loan Input</t>
  </si>
  <si>
    <t>Loan Output</t>
  </si>
  <si>
    <t>Amount Disbursed</t>
  </si>
  <si>
    <t>Finance Charge</t>
  </si>
  <si>
    <t>Loan Maturity Date</t>
  </si>
  <si>
    <t>Protection Output</t>
  </si>
  <si>
    <t>Decreasing Life Premium</t>
  </si>
  <si>
    <t>Decreasing Life Term (Months)</t>
  </si>
  <si>
    <t>Decreasing Life Coverage</t>
  </si>
  <si>
    <t>Disability Premium</t>
  </si>
  <si>
    <t>Disability Term (Months)</t>
  </si>
  <si>
    <t>Disability Monthly Benefit</t>
  </si>
  <si>
    <t>Aggregate Disability Benefit</t>
  </si>
  <si>
    <t>Total Premium</t>
  </si>
  <si>
    <t>Insurance Cost Per Day</t>
  </si>
  <si>
    <t>Life Benefit</t>
  </si>
  <si>
    <t>Monthly Disability Benefit</t>
  </si>
  <si>
    <t>OKLAHOMA</t>
  </si>
  <si>
    <t>Adjusted Term in Months</t>
  </si>
  <si>
    <t>Loan Term (number of payments)</t>
  </si>
  <si>
    <t>Payments more frequent than Monthly</t>
  </si>
  <si>
    <t>Payments greater than monthly</t>
  </si>
  <si>
    <t>Angle N</t>
  </si>
  <si>
    <t>Number of Segments</t>
  </si>
  <si>
    <t>Seg</t>
  </si>
  <si>
    <t>&lt; Monthly</t>
  </si>
  <si>
    <t>&gt;Monthly</t>
  </si>
  <si>
    <t>Monthly</t>
  </si>
  <si>
    <t>Frequency Tag</t>
  </si>
  <si>
    <t>*Life Rates include AD, Dismemberment, Terminal Illness, and Quadriplegic benefits</t>
  </si>
  <si>
    <t>OK Single Premium Gross Life and Disability Calculator</t>
  </si>
  <si>
    <t>J</t>
  </si>
  <si>
    <t>Joint</t>
  </si>
  <si>
    <t>Annual</t>
  </si>
  <si>
    <t>Annual Frequency Ma</t>
  </si>
  <si>
    <t xml:space="preserve">Maturity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</si>
</sst>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Narrow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8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0" xfId="0" applyFill="1"/>
    <xf numFmtId="0" fontId="0" fillId="3" borderId="3" xfId="0" applyFill="1" applyBorder="1"/>
    <xf numFmtId="0" fontId="0" fillId="3" borderId="5" xfId="0" applyFill="1" applyBorder="1"/>
    <xf numFmtId="0" fontId="0" fillId="3" borderId="9" xfId="0" applyFill="1" applyBorder="1"/>
    <xf numFmtId="0" fontId="0" fillId="3" borderId="11" xfId="0" applyFill="1" applyBorder="1"/>
    <xf numFmtId="14" fontId="0" fillId="5" borderId="10" xfId="0" applyNumberFormat="1" applyFill="1" applyBorder="1"/>
    <xf numFmtId="9" fontId="0" fillId="5" borderId="10" xfId="2" applyFont="1" applyFill="1" applyBorder="1"/>
    <xf numFmtId="44" fontId="0" fillId="5" borderId="10" xfId="1" applyFont="1" applyFill="1" applyBorder="1"/>
    <xf numFmtId="0" fontId="0" fillId="5" borderId="10" xfId="1" applyNumberFormat="1" applyFont="1" applyFill="1" applyBorder="1"/>
    <xf numFmtId="0" fontId="0" fillId="5" borderId="10" xfId="0" applyFill="1" applyBorder="1" applyAlignment="1">
      <alignment horizontal="right"/>
    </xf>
    <xf numFmtId="14" fontId="0" fillId="5" borderId="12" xfId="0" applyNumberFormat="1" applyFill="1" applyBorder="1"/>
    <xf numFmtId="44" fontId="0" fillId="5" borderId="4" xfId="1" applyFont="1" applyFill="1" applyBorder="1"/>
    <xf numFmtId="0" fontId="0" fillId="5" borderId="6" xfId="0" applyFill="1" applyBorder="1"/>
    <xf numFmtId="0" fontId="0" fillId="5" borderId="4" xfId="0" applyFill="1" applyBorder="1"/>
    <xf numFmtId="0" fontId="0" fillId="3" borderId="13" xfId="0" applyFill="1" applyBorder="1"/>
    <xf numFmtId="14" fontId="0" fillId="5" borderId="14" xfId="0" applyNumberFormat="1" applyFill="1" applyBorder="1"/>
    <xf numFmtId="44" fontId="0" fillId="7" borderId="4" xfId="0" applyNumberFormat="1" applyFill="1" applyBorder="1"/>
    <xf numFmtId="44" fontId="0" fillId="7" borderId="4" xfId="1" applyFont="1" applyFill="1" applyBorder="1"/>
    <xf numFmtId="44" fontId="0" fillId="7" borderId="6" xfId="1" applyFont="1" applyFill="1" applyBorder="1"/>
    <xf numFmtId="164" fontId="8" fillId="0" borderId="0" xfId="3" applyNumberFormat="1" applyAlignment="1" applyProtection="1">
      <alignment horizontal="left"/>
    </xf>
    <xf numFmtId="0" fontId="7" fillId="6" borderId="0" xfId="0" applyFont="1" applyFill="1"/>
    <xf numFmtId="0" fontId="7" fillId="0" borderId="0" xfId="0" applyFont="1"/>
    <xf numFmtId="0" fontId="7" fillId="6" borderId="0" xfId="0" applyFont="1" applyFill="1" applyAlignment="1">
      <alignment wrapText="1"/>
    </xf>
    <xf numFmtId="4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0" fillId="6" borderId="1" xfId="0" applyFill="1" applyBorder="1"/>
    <xf numFmtId="0" fontId="0" fillId="6" borderId="15" xfId="0" applyFill="1" applyBorder="1"/>
    <xf numFmtId="0" fontId="0" fillId="6" borderId="2" xfId="0" applyFill="1" applyBorder="1"/>
    <xf numFmtId="0" fontId="0" fillId="6" borderId="3" xfId="0" applyFill="1" applyBorder="1"/>
    <xf numFmtId="0" fontId="0" fillId="0" borderId="0" xfId="0" applyBorder="1"/>
    <xf numFmtId="0" fontId="0" fillId="0" borderId="4" xfId="0" applyBorder="1"/>
    <xf numFmtId="0" fontId="0" fillId="6" borderId="5" xfId="0" applyFill="1" applyBorder="1"/>
    <xf numFmtId="0" fontId="0" fillId="0" borderId="16" xfId="0" applyBorder="1"/>
    <xf numFmtId="0" fontId="0" fillId="0" borderId="6" xfId="0" applyBorder="1"/>
    <xf numFmtId="0" fontId="6" fillId="4" borderId="1" xfId="0" applyFont="1" applyFill="1" applyBorder="1"/>
    <xf numFmtId="0" fontId="7" fillId="6" borderId="15" xfId="0" applyFont="1" applyFill="1" applyBorder="1"/>
    <xf numFmtId="0" fontId="7" fillId="6" borderId="2" xfId="0" applyFont="1" applyFill="1" applyBorder="1"/>
    <xf numFmtId="44" fontId="0" fillId="0" borderId="0" xfId="1" applyFont="1" applyBorder="1"/>
    <xf numFmtId="44" fontId="0" fillId="0" borderId="4" xfId="1" applyFont="1" applyBorder="1"/>
    <xf numFmtId="44" fontId="0" fillId="2" borderId="16" xfId="1" applyFont="1" applyFill="1" applyBorder="1"/>
    <xf numFmtId="44" fontId="0" fillId="2" borderId="6" xfId="1" applyFont="1" applyFill="1" applyBorder="1"/>
    <xf numFmtId="1" fontId="0" fillId="7" borderId="4" xfId="0" applyNumberFormat="1" applyFill="1" applyBorder="1"/>
    <xf numFmtId="1" fontId="0" fillId="7" borderId="4" xfId="0" applyNumberFormat="1" applyFill="1" applyBorder="1" applyAlignment="1">
      <alignment horizontal="right"/>
    </xf>
    <xf numFmtId="44" fontId="0" fillId="7" borderId="4" xfId="0" applyNumberFormat="1" applyFill="1" applyBorder="1" applyAlignment="1">
      <alignment horizontal="right"/>
    </xf>
    <xf numFmtId="0" fontId="0" fillId="8" borderId="15" xfId="0" applyFill="1" applyBorder="1"/>
    <xf numFmtId="0" fontId="0" fillId="8" borderId="0" xfId="0" applyFill="1" applyBorder="1"/>
    <xf numFmtId="0" fontId="0" fillId="8" borderId="4" xfId="0" applyFill="1" applyBorder="1"/>
    <xf numFmtId="0" fontId="0" fillId="8" borderId="3" xfId="0" applyFill="1" applyBorder="1"/>
    <xf numFmtId="0" fontId="7" fillId="7" borderId="3" xfId="0" applyFont="1" applyFill="1" applyBorder="1"/>
    <xf numFmtId="0" fontId="7" fillId="7" borderId="0" xfId="0" applyFont="1" applyFill="1" applyBorder="1"/>
    <xf numFmtId="0" fontId="7" fillId="7" borderId="4" xfId="0" applyFont="1" applyFill="1" applyBorder="1"/>
    <xf numFmtId="0" fontId="0" fillId="7" borderId="5" xfId="0" applyFill="1" applyBorder="1"/>
    <xf numFmtId="0" fontId="0" fillId="7" borderId="16" xfId="0" applyFill="1" applyBorder="1"/>
    <xf numFmtId="0" fontId="0" fillId="7" borderId="6" xfId="0" applyFill="1" applyBorder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0" fillId="7" borderId="1" xfId="0" applyFont="1" applyFill="1" applyBorder="1" applyAlignment="1">
      <alignment horizontal="left"/>
    </xf>
    <xf numFmtId="0" fontId="10" fillId="7" borderId="15" xfId="0" applyFont="1" applyFill="1" applyBorder="1" applyAlignment="1">
      <alignment horizontal="left"/>
    </xf>
    <xf numFmtId="0" fontId="10" fillId="7" borderId="2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left" wrapText="1"/>
    </xf>
    <xf numFmtId="0" fontId="6" fillId="8" borderId="15" xfId="0" applyFont="1" applyFill="1" applyBorder="1" applyAlignment="1">
      <alignment horizontal="left" wrapText="1"/>
    </xf>
    <xf numFmtId="0" fontId="6" fillId="8" borderId="5" xfId="0" applyFont="1" applyFill="1" applyBorder="1" applyAlignment="1">
      <alignment horizontal="left" wrapText="1"/>
    </xf>
    <xf numFmtId="0" fontId="6" fillId="8" borderId="16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0" fontId="0" fillId="7" borderId="4" xfId="0" applyFill="1" applyBorder="1"/>
    <xf numFmtId="14" fontId="0" fillId="7" borderId="6" xfId="0" applyNumberFormat="1" applyFill="1" applyBorder="1"/>
  </cellXfs>
  <cellStyles count="4">
    <cellStyle name="Currency" xfId="1" builtinId="4"/>
    <cellStyle name="Normal" xfId="0" builtinId="0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G4" sqref="G4:G10"/>
    </sheetView>
  </sheetViews>
  <sheetFormatPr defaultColWidth="8.85546875" defaultRowHeight="15" x14ac:dyDescent="0.25"/>
  <cols>
    <col min="1" max="1" width="44.42578125" style="8" bestFit="1" customWidth="1"/>
    <col min="2" max="2" width="21" style="8" customWidth="1"/>
    <col min="3" max="3" width="21.42578125" style="8" customWidth="1"/>
    <col min="4" max="4" width="8.85546875" style="8"/>
    <col min="5" max="5" width="34.85546875" style="8" customWidth="1"/>
    <col min="6" max="6" width="15.7109375" style="8" bestFit="1" customWidth="1"/>
    <col min="7" max="7" width="36.140625" style="8" customWidth="1"/>
    <col min="8" max="8" width="30" style="8" customWidth="1"/>
    <col min="9" max="16384" width="8.85546875" style="8"/>
  </cols>
  <sheetData>
    <row r="1" spans="1:8" ht="18.75" x14ac:dyDescent="0.3">
      <c r="A1" s="73" t="s">
        <v>113</v>
      </c>
      <c r="B1" s="74"/>
      <c r="C1" s="54"/>
      <c r="D1" s="54"/>
      <c r="E1" s="73" t="s">
        <v>114</v>
      </c>
      <c r="F1" s="74"/>
    </row>
    <row r="2" spans="1:8" x14ac:dyDescent="0.25">
      <c r="A2" s="22" t="s">
        <v>77</v>
      </c>
      <c r="B2" s="23">
        <v>43157</v>
      </c>
      <c r="C2" s="55"/>
      <c r="D2" s="55"/>
      <c r="E2" s="9" t="str">
        <f>Calculations!C17 &amp; " Payments at"</f>
        <v>5 Payments at</v>
      </c>
      <c r="F2" s="24">
        <f>IF(Calculations!C63=1,Calculations!M2,Calculations!M8)</f>
        <v>2333.4061138209872</v>
      </c>
    </row>
    <row r="3" spans="1:8" x14ac:dyDescent="0.25">
      <c r="A3" s="11" t="s">
        <v>78</v>
      </c>
      <c r="B3" s="13">
        <v>43185</v>
      </c>
      <c r="C3" s="55"/>
      <c r="D3" s="55"/>
      <c r="E3" s="9" t="s">
        <v>115</v>
      </c>
      <c r="F3" s="25">
        <f>IF(Calculations!C63=1,Calculations!C7,Calculations!D7)</f>
        <v>10000</v>
      </c>
    </row>
    <row r="4" spans="1:8" x14ac:dyDescent="0.25">
      <c r="A4" s="11" t="s">
        <v>79</v>
      </c>
      <c r="B4" s="14">
        <v>0.05</v>
      </c>
      <c r="C4" s="55"/>
      <c r="D4" s="55"/>
      <c r="E4" s="9" t="s">
        <v>12</v>
      </c>
      <c r="F4" s="24">
        <f>IF(Calculations!C63=1,Calculations!C9,Calculations!D9)</f>
        <v>10567.0176856585</v>
      </c>
    </row>
    <row r="5" spans="1:8" x14ac:dyDescent="0.25">
      <c r="A5" s="11" t="s">
        <v>97</v>
      </c>
      <c r="B5" s="15">
        <v>10000</v>
      </c>
      <c r="C5" s="55"/>
      <c r="D5" s="55"/>
      <c r="E5" s="9" t="s">
        <v>116</v>
      </c>
      <c r="F5" s="24">
        <f>IF(Calculations!C63=1,Calculations!C12,Calculations!D12)</f>
        <v>1100.0128834464358</v>
      </c>
      <c r="G5" s="81"/>
    </row>
    <row r="6" spans="1:8" x14ac:dyDescent="0.25">
      <c r="A6" s="11" t="s">
        <v>102</v>
      </c>
      <c r="B6" s="16">
        <v>5</v>
      </c>
      <c r="C6" s="55"/>
      <c r="D6" s="55"/>
      <c r="E6" s="9" t="s">
        <v>16</v>
      </c>
      <c r="F6" s="24">
        <f>IF(Calculations!C63=1,Calculations!C10,Calculations!D10)</f>
        <v>11667.030569104936</v>
      </c>
      <c r="G6" s="81"/>
    </row>
    <row r="7" spans="1:8" x14ac:dyDescent="0.25">
      <c r="A7" s="11" t="s">
        <v>80</v>
      </c>
      <c r="B7" s="17" t="s">
        <v>146</v>
      </c>
      <c r="C7" s="55"/>
      <c r="D7" s="55"/>
      <c r="E7" s="9" t="s">
        <v>29</v>
      </c>
      <c r="F7" s="83">
        <f>IF(Calculations!C63=1,Calculations!C20,Calculations!D20)</f>
        <v>5</v>
      </c>
      <c r="G7" s="81"/>
    </row>
    <row r="8" spans="1:8" ht="15.75" thickBot="1" x14ac:dyDescent="0.3">
      <c r="A8" s="11" t="s">
        <v>81</v>
      </c>
      <c r="B8" s="13"/>
      <c r="C8" s="55"/>
      <c r="D8" s="55"/>
      <c r="E8" s="10" t="s">
        <v>148</v>
      </c>
      <c r="F8" s="84">
        <f>VLOOKUP(B7,Calculations!I:J,2,0)</f>
        <v>44983</v>
      </c>
      <c r="G8" s="82"/>
      <c r="H8" s="69"/>
    </row>
    <row r="9" spans="1:8" ht="15.75" thickBot="1" x14ac:dyDescent="0.3">
      <c r="A9" s="12" t="s">
        <v>82</v>
      </c>
      <c r="B9" s="18"/>
      <c r="C9" s="55"/>
      <c r="D9" s="55"/>
      <c r="E9" s="55" t="s">
        <v>147</v>
      </c>
      <c r="F9" s="55"/>
      <c r="G9" s="81"/>
    </row>
    <row r="10" spans="1:8" ht="13.5" customHeight="1" x14ac:dyDescent="0.3">
      <c r="A10" s="75" t="str">
        <f>IF(AND(B17="Joint",F12=0),"*Life coverage eligability is based on Primary Applicant age. ","")</f>
        <v/>
      </c>
      <c r="B10" s="76"/>
      <c r="C10" s="55"/>
      <c r="D10" s="55"/>
      <c r="E10" s="73" t="s">
        <v>118</v>
      </c>
      <c r="F10" s="74"/>
    </row>
    <row r="11" spans="1:8" ht="15.75" thickBot="1" x14ac:dyDescent="0.3">
      <c r="A11" s="77" t="str">
        <f>IF(AND(B17="Joint",Calculations!C49&gt;Calculations!C48),"*Life coverage term is based on Primary Applicant age. ","")</f>
        <v/>
      </c>
      <c r="B11" s="78"/>
      <c r="C11" s="55"/>
      <c r="D11" s="55"/>
      <c r="E11" s="9" t="s">
        <v>119</v>
      </c>
      <c r="F11" s="24">
        <f>IF(Calculations!C63=1,Calculations!M5,Calculations!M10)</f>
        <v>567.0176856585</v>
      </c>
    </row>
    <row r="12" spans="1:8" ht="18.75" x14ac:dyDescent="0.3">
      <c r="A12" s="73" t="s">
        <v>101</v>
      </c>
      <c r="B12" s="74"/>
      <c r="C12" s="55"/>
      <c r="D12" s="55"/>
      <c r="E12" s="9" t="s">
        <v>120</v>
      </c>
      <c r="F12" s="51">
        <f>IF(Calculations!C63=1,Calculations!C52,Calculations!D52)</f>
        <v>60</v>
      </c>
    </row>
    <row r="13" spans="1:8" x14ac:dyDescent="0.25">
      <c r="A13" s="9" t="s">
        <v>99</v>
      </c>
      <c r="B13" s="19"/>
      <c r="C13" s="55"/>
      <c r="D13" s="55"/>
      <c r="E13" s="9" t="s">
        <v>121</v>
      </c>
      <c r="F13" s="24">
        <f>IF(Calculations!C63=1,Calculations!C56,Calculations!D56)</f>
        <v>11667.030569104936</v>
      </c>
    </row>
    <row r="14" spans="1:8" x14ac:dyDescent="0.25">
      <c r="A14" s="9" t="s">
        <v>98</v>
      </c>
      <c r="B14" s="19"/>
      <c r="C14" s="55"/>
      <c r="D14" s="55"/>
      <c r="E14" s="9" t="s">
        <v>122</v>
      </c>
      <c r="F14" s="53" t="str">
        <f>IF(Calculations!C63=1,Calculations!M4,"N/A")</f>
        <v>N/A</v>
      </c>
    </row>
    <row r="15" spans="1:8" ht="15.75" thickBot="1" x14ac:dyDescent="0.3">
      <c r="A15" s="9" t="s">
        <v>100</v>
      </c>
      <c r="B15" s="19"/>
      <c r="C15" s="55"/>
      <c r="D15" s="55"/>
      <c r="E15" s="9" t="s">
        <v>123</v>
      </c>
      <c r="F15" s="52" t="str">
        <f>IF(Calculations!C63=1,Calculations!C53,"N/A  ")</f>
        <v xml:space="preserve">N/A  </v>
      </c>
    </row>
    <row r="16" spans="1:8" ht="18.75" x14ac:dyDescent="0.3">
      <c r="A16" s="73" t="s">
        <v>112</v>
      </c>
      <c r="B16" s="74"/>
      <c r="C16" s="55"/>
      <c r="D16" s="55"/>
      <c r="E16" s="9" t="s">
        <v>124</v>
      </c>
      <c r="F16" s="53" t="str">
        <f>IF(Calculations!C63=1,Calculations!C57,"N/A")</f>
        <v>N/A</v>
      </c>
    </row>
    <row r="17" spans="1:6" x14ac:dyDescent="0.25">
      <c r="A17" s="9" t="s">
        <v>103</v>
      </c>
      <c r="B17" s="21" t="s">
        <v>111</v>
      </c>
      <c r="C17" s="55"/>
      <c r="D17" s="55"/>
      <c r="E17" s="9" t="s">
        <v>125</v>
      </c>
      <c r="F17" s="53" t="str">
        <f>IF(Calculations!C63=1,Calculations!C58,"N/A")</f>
        <v>N/A</v>
      </c>
    </row>
    <row r="18" spans="1:6" ht="15.75" thickBot="1" x14ac:dyDescent="0.3">
      <c r="A18" s="10" t="s">
        <v>104</v>
      </c>
      <c r="B18" s="20" t="s">
        <v>145</v>
      </c>
      <c r="C18" s="55"/>
      <c r="D18" s="55"/>
      <c r="E18" s="9" t="s">
        <v>126</v>
      </c>
      <c r="F18" s="24">
        <f>IF(Calculations!C63=1,Calculations!C59,Calculations!M10)</f>
        <v>567.0176856585</v>
      </c>
    </row>
    <row r="19" spans="1:6" ht="15.75" thickBot="1" x14ac:dyDescent="0.3">
      <c r="A19" s="57"/>
      <c r="B19" s="55"/>
      <c r="C19" s="55"/>
      <c r="D19" s="55"/>
      <c r="E19" s="10" t="s">
        <v>127</v>
      </c>
      <c r="F19" s="26">
        <f>IF(F12=0,"                -",F18/(F12/12*365))</f>
        <v>0.31069462227863015</v>
      </c>
    </row>
    <row r="20" spans="1:6" x14ac:dyDescent="0.25">
      <c r="A20" s="57"/>
      <c r="B20" s="55"/>
      <c r="C20" s="55"/>
      <c r="D20" s="55"/>
      <c r="E20" s="55"/>
      <c r="F20" s="56"/>
    </row>
    <row r="21" spans="1:6" x14ac:dyDescent="0.25">
      <c r="A21" s="57"/>
      <c r="B21" s="55"/>
      <c r="C21" s="55"/>
      <c r="D21" s="55"/>
      <c r="E21" s="55"/>
      <c r="F21" s="56"/>
    </row>
    <row r="22" spans="1:6" ht="15.75" thickBot="1" x14ac:dyDescent="0.3">
      <c r="A22" s="57"/>
      <c r="B22" s="55"/>
      <c r="C22" s="55"/>
      <c r="D22" s="55"/>
      <c r="E22" s="55"/>
      <c r="F22" s="56"/>
    </row>
    <row r="23" spans="1:6" ht="28.5" x14ac:dyDescent="0.45">
      <c r="A23" s="70" t="s">
        <v>143</v>
      </c>
      <c r="B23" s="71"/>
      <c r="C23" s="71"/>
      <c r="D23" s="71"/>
      <c r="E23" s="71"/>
      <c r="F23" s="72"/>
    </row>
    <row r="24" spans="1:6" x14ac:dyDescent="0.25">
      <c r="A24" s="58" t="s">
        <v>142</v>
      </c>
      <c r="B24" s="59"/>
      <c r="C24" s="59"/>
      <c r="D24" s="59"/>
      <c r="E24" s="59"/>
      <c r="F24" s="60"/>
    </row>
    <row r="25" spans="1:6" ht="15.75" thickBot="1" x14ac:dyDescent="0.3">
      <c r="A25" s="61"/>
      <c r="B25" s="62"/>
      <c r="C25" s="62"/>
      <c r="D25" s="62"/>
      <c r="E25" s="62"/>
      <c r="F25" s="63"/>
    </row>
  </sheetData>
  <mergeCells count="8">
    <mergeCell ref="A23:F23"/>
    <mergeCell ref="A16:B16"/>
    <mergeCell ref="A12:B12"/>
    <mergeCell ref="A1:B1"/>
    <mergeCell ref="E1:F1"/>
    <mergeCell ref="E10:F10"/>
    <mergeCell ref="A10:B10"/>
    <mergeCell ref="A11:B11"/>
  </mergeCells>
  <dataValidations count="3">
    <dataValidation type="list" allowBlank="1" showInputMessage="1" showErrorMessage="1" sqref="B7" xr:uid="{00000000-0002-0000-0000-000000000000}">
      <formula1>"Annual, Semi-Annual, Quarterly, Bi-Monthly, Monthly, Semi Monthly, Bi Weekly, Weekly"</formula1>
    </dataValidation>
    <dataValidation type="list" allowBlank="1" showInputMessage="1" showErrorMessage="1" sqref="B17" xr:uid="{00000000-0002-0000-0000-000001000000}">
      <formula1>"None, Single, Joint"</formula1>
    </dataValidation>
    <dataValidation type="list" allowBlank="1" showInputMessage="1" showErrorMessage="1" sqref="B18" xr:uid="{00000000-0002-0000-0000-000002000000}">
      <formula1>"Single, Joint, None"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workbookViewId="0">
      <selection activeCell="D5" sqref="D5"/>
    </sheetView>
  </sheetViews>
  <sheetFormatPr defaultColWidth="8.85546875" defaultRowHeight="15" x14ac:dyDescent="0.25"/>
  <cols>
    <col min="1" max="1" width="19.7109375" bestFit="1" customWidth="1"/>
  </cols>
  <sheetData>
    <row r="1" spans="1:4" x14ac:dyDescent="0.25">
      <c r="A1" t="s">
        <v>109</v>
      </c>
      <c r="D1" t="s">
        <v>110</v>
      </c>
    </row>
    <row r="2" spans="1:4" x14ac:dyDescent="0.25">
      <c r="A2" t="s">
        <v>105</v>
      </c>
      <c r="B2">
        <v>0.95</v>
      </c>
      <c r="D2">
        <v>1.62</v>
      </c>
    </row>
    <row r="3" spans="1:4" x14ac:dyDescent="0.25">
      <c r="A3" t="s">
        <v>108</v>
      </c>
      <c r="B3">
        <v>0.95</v>
      </c>
    </row>
    <row r="4" spans="1:4" x14ac:dyDescent="0.25">
      <c r="A4" t="s">
        <v>106</v>
      </c>
      <c r="B4">
        <v>1.44</v>
      </c>
      <c r="D4">
        <v>2.44</v>
      </c>
    </row>
    <row r="5" spans="1:4" x14ac:dyDescent="0.25">
      <c r="A5" t="s">
        <v>107</v>
      </c>
      <c r="B5">
        <v>1.44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8"/>
  <sheetViews>
    <sheetView zoomScale="85" zoomScaleNormal="85" zoomScalePageLayoutView="60" workbookViewId="0">
      <selection activeCell="G28" sqref="G28"/>
    </sheetView>
  </sheetViews>
  <sheetFormatPr defaultColWidth="8.85546875" defaultRowHeight="15" x14ac:dyDescent="0.25"/>
  <cols>
    <col min="1" max="1" width="29.140625" style="28" customWidth="1"/>
    <col min="2" max="2" width="49.7109375" bestFit="1" customWidth="1"/>
    <col min="3" max="4" width="29.42578125" style="1" customWidth="1"/>
    <col min="6" max="6" width="18.28515625" bestFit="1" customWidth="1"/>
    <col min="7" max="13" width="13.42578125" bestFit="1" customWidth="1"/>
  </cols>
  <sheetData>
    <row r="1" spans="1:13" s="29" customFormat="1" ht="30" x14ac:dyDescent="0.25">
      <c r="A1" s="28" t="s">
        <v>45</v>
      </c>
      <c r="B1" s="28" t="s">
        <v>46</v>
      </c>
      <c r="C1" s="30" t="s">
        <v>133</v>
      </c>
      <c r="D1" s="30" t="s">
        <v>134</v>
      </c>
      <c r="F1" s="44" t="s">
        <v>138</v>
      </c>
      <c r="G1" s="45" t="s">
        <v>56</v>
      </c>
      <c r="H1" s="45" t="s">
        <v>57</v>
      </c>
      <c r="I1" s="45" t="s">
        <v>58</v>
      </c>
      <c r="J1" s="45" t="s">
        <v>59</v>
      </c>
      <c r="K1" s="45" t="s">
        <v>74</v>
      </c>
      <c r="L1" s="45" t="s">
        <v>75</v>
      </c>
      <c r="M1" s="46" t="s">
        <v>76</v>
      </c>
    </row>
    <row r="2" spans="1:13" x14ac:dyDescent="0.25">
      <c r="A2" s="28" t="s">
        <v>0</v>
      </c>
      <c r="B2" t="s">
        <v>1</v>
      </c>
      <c r="C2" s="31">
        <f>'Single Premium Calculator'!B5</f>
        <v>10000</v>
      </c>
      <c r="F2" s="38" t="s">
        <v>2</v>
      </c>
      <c r="G2" s="47">
        <f>ROUND(C7*$C$22/$C$32,2)</f>
        <v>2208.1999999999998</v>
      </c>
      <c r="H2" s="47">
        <f>(G6)*$C$22/$C$32</f>
        <v>5246.7650170107272</v>
      </c>
      <c r="I2" s="47">
        <f t="shared" ref="I2:M2" si="0">(H6)*$C$22/$C$32</f>
        <v>9427.9466169658317</v>
      </c>
      <c r="J2" s="47">
        <f t="shared" si="0"/>
        <v>15181.412306833414</v>
      </c>
      <c r="K2" s="47">
        <f t="shared" si="0"/>
        <v>4327.9753919210661</v>
      </c>
      <c r="L2" s="47">
        <f t="shared" si="0"/>
        <v>8163.6569759188078</v>
      </c>
      <c r="M2" s="48">
        <f t="shared" si="0"/>
        <v>13441.701438523565</v>
      </c>
    </row>
    <row r="3" spans="1:13" x14ac:dyDescent="0.25">
      <c r="F3" s="38" t="s">
        <v>15</v>
      </c>
      <c r="G3" s="47">
        <f>G2*$C$17</f>
        <v>11041</v>
      </c>
      <c r="H3" s="47">
        <f>H2*$C$17</f>
        <v>26233.825085053635</v>
      </c>
      <c r="I3" s="47">
        <f t="shared" ref="I3:J3" si="1">I2*$C$17</f>
        <v>47139.73308482916</v>
      </c>
      <c r="J3" s="47">
        <f t="shared" si="1"/>
        <v>75907.061534167064</v>
      </c>
      <c r="K3" s="47">
        <f>K2*$C$17</f>
        <v>21639.876959605332</v>
      </c>
      <c r="L3" s="47">
        <f t="shared" ref="L3" si="2">L2*$C$17</f>
        <v>40818.284879594037</v>
      </c>
      <c r="M3" s="48">
        <f>M2*$C$17</f>
        <v>67208.507192617821</v>
      </c>
    </row>
    <row r="4" spans="1:13" x14ac:dyDescent="0.25">
      <c r="A4" s="28" t="s">
        <v>3</v>
      </c>
      <c r="B4" t="s">
        <v>4</v>
      </c>
      <c r="C4" s="31">
        <f>'Single Premium Calculator'!B13</f>
        <v>0</v>
      </c>
      <c r="F4" s="38" t="s">
        <v>60</v>
      </c>
      <c r="G4" s="47">
        <f>IF(G3&gt;$C$26,$C$26*$C$36,G2*$C$36*$C$19)</f>
        <v>13235.950800000001</v>
      </c>
      <c r="H4" s="47">
        <f t="shared" ref="H4:M4" si="3">IF(H3&gt;$C$26,$C$26*$C$36,H2*$C$36*$C$19)</f>
        <v>31449.109511962302</v>
      </c>
      <c r="I4" s="47">
        <f t="shared" si="3"/>
        <v>56511.112022093206</v>
      </c>
      <c r="J4" s="47">
        <f t="shared" si="3"/>
        <v>5994.0000000000009</v>
      </c>
      <c r="K4" s="47">
        <f t="shared" si="3"/>
        <v>25941.884499174874</v>
      </c>
      <c r="L4" s="47">
        <f t="shared" si="3"/>
        <v>48932.959913657338</v>
      </c>
      <c r="M4" s="47">
        <f t="shared" si="3"/>
        <v>5994.0000000000009</v>
      </c>
    </row>
    <row r="5" spans="1:13" x14ac:dyDescent="0.25">
      <c r="A5" s="28" t="s">
        <v>5</v>
      </c>
      <c r="B5" t="s">
        <v>6</v>
      </c>
      <c r="C5" s="31">
        <f>'Single Premium Calculator'!B15</f>
        <v>0</v>
      </c>
      <c r="F5" s="38" t="s">
        <v>61</v>
      </c>
      <c r="G5" s="47">
        <f>IF(G3&lt;$C$23,$G$3*$C$35,$C23*$C$35)</f>
        <v>524.44749999999999</v>
      </c>
      <c r="H5" s="47">
        <f>IF(H3&lt;$C$23,H3*$C$35,$C23*$C$35)</f>
        <v>1246.1066915400477</v>
      </c>
      <c r="I5" s="47">
        <f t="shared" ref="I5:M5" si="4">IF(I3&lt;$C$23,I3*$C$35,$C23*$C$35)</f>
        <v>2239.1373215293852</v>
      </c>
      <c r="J5" s="47">
        <f t="shared" si="4"/>
        <v>3605.5854228729354</v>
      </c>
      <c r="K5" s="47">
        <f t="shared" si="4"/>
        <v>1027.8941555812532</v>
      </c>
      <c r="L5" s="47">
        <f t="shared" si="4"/>
        <v>1938.8685317807167</v>
      </c>
      <c r="M5" s="48">
        <f t="shared" si="4"/>
        <v>3192.4040916493464</v>
      </c>
    </row>
    <row r="6" spans="1:13" ht="15.75" thickBot="1" x14ac:dyDescent="0.3">
      <c r="A6" s="28" t="s">
        <v>7</v>
      </c>
      <c r="B6" t="s">
        <v>8</v>
      </c>
      <c r="C6" s="31">
        <f>'Single Premium Calculator'!B14</f>
        <v>0</v>
      </c>
      <c r="F6" s="41" t="s">
        <v>11</v>
      </c>
      <c r="G6" s="49">
        <f>$C$7+G5+G4</f>
        <v>23760.398300000001</v>
      </c>
      <c r="H6" s="49">
        <f>$C$7+H5+H4</f>
        <v>42695.21620350235</v>
      </c>
      <c r="I6" s="49">
        <f>$C$7+I5+I4</f>
        <v>68750.249343622592</v>
      </c>
      <c r="J6" s="49">
        <f t="shared" ref="J6:K6" si="5">$C$7+J5+J4</f>
        <v>19599.585422872937</v>
      </c>
      <c r="K6" s="49">
        <f t="shared" si="5"/>
        <v>36969.778654756126</v>
      </c>
      <c r="L6" s="49">
        <f t="shared" ref="L6" si="6">$C$7+L5+L4</f>
        <v>60871.828445438055</v>
      </c>
      <c r="M6" s="50">
        <f t="shared" ref="M6" si="7">$C$7+M5+M4</f>
        <v>19186.404091649347</v>
      </c>
    </row>
    <row r="7" spans="1:13" x14ac:dyDescent="0.25">
      <c r="A7" s="28" t="s">
        <v>9</v>
      </c>
      <c r="B7" t="s">
        <v>10</v>
      </c>
      <c r="C7" s="1">
        <f>C2+C4+C5</f>
        <v>10000</v>
      </c>
      <c r="D7" s="1">
        <f>C7</f>
        <v>10000</v>
      </c>
      <c r="F7" s="35" t="s">
        <v>139</v>
      </c>
      <c r="G7" s="36"/>
      <c r="H7" s="36"/>
      <c r="I7" s="36"/>
      <c r="J7" s="36"/>
      <c r="K7" s="36"/>
      <c r="L7" s="36"/>
      <c r="M7" s="37"/>
    </row>
    <row r="8" spans="1:13" x14ac:dyDescent="0.25">
      <c r="A8" s="28" t="s">
        <v>11</v>
      </c>
      <c r="B8" t="s">
        <v>12</v>
      </c>
      <c r="F8" s="38" t="s">
        <v>2</v>
      </c>
      <c r="G8" s="39">
        <f>D7*$D$22/$D$61</f>
        <v>2208.1974177220454</v>
      </c>
      <c r="H8" s="39">
        <f>G11*$D$22/$D$61</f>
        <v>2326.6875185279591</v>
      </c>
      <c r="I8" s="39">
        <f t="shared" ref="I8:M8" si="8">H11*$D$22/$D$61</f>
        <v>2333.0456022193525</v>
      </c>
      <c r="J8" s="39">
        <f t="shared" si="8"/>
        <v>2333.3867718862848</v>
      </c>
      <c r="K8" s="39">
        <f t="shared" si="8"/>
        <v>2333.4050787767392</v>
      </c>
      <c r="L8" s="39">
        <f t="shared" si="8"/>
        <v>2333.4060611097848</v>
      </c>
      <c r="M8" s="40">
        <f t="shared" si="8"/>
        <v>2333.4061138209872</v>
      </c>
    </row>
    <row r="9" spans="1:13" x14ac:dyDescent="0.25">
      <c r="A9" s="28" t="s">
        <v>13</v>
      </c>
      <c r="B9" t="s">
        <v>14</v>
      </c>
      <c r="C9" s="31">
        <f>M6-C5-C6</f>
        <v>19186.404091649347</v>
      </c>
      <c r="D9" s="1">
        <f>M11</f>
        <v>10567.0176856585</v>
      </c>
      <c r="F9" s="38" t="s">
        <v>15</v>
      </c>
      <c r="G9" s="39">
        <f>G8*D17</f>
        <v>11040.987088610227</v>
      </c>
      <c r="H9" s="39">
        <f>H8*$D$17</f>
        <v>11633.437592639795</v>
      </c>
      <c r="I9" s="39">
        <f t="shared" ref="I9:M9" si="9">I8*$D$17</f>
        <v>11665.228011096762</v>
      </c>
      <c r="J9" s="39">
        <f t="shared" si="9"/>
        <v>11666.933859431425</v>
      </c>
      <c r="K9" s="39">
        <f t="shared" si="9"/>
        <v>11667.025393883696</v>
      </c>
      <c r="L9" s="39">
        <f t="shared" si="9"/>
        <v>11667.030305548924</v>
      </c>
      <c r="M9" s="40">
        <f t="shared" si="9"/>
        <v>11667.030569104936</v>
      </c>
    </row>
    <row r="10" spans="1:13" x14ac:dyDescent="0.25">
      <c r="A10" s="28" t="s">
        <v>15</v>
      </c>
      <c r="B10" t="s">
        <v>16</v>
      </c>
      <c r="C10" s="31">
        <f>M2*C17</f>
        <v>67208.507192617821</v>
      </c>
      <c r="D10" s="1">
        <f>M8*D17</f>
        <v>11667.030569104936</v>
      </c>
      <c r="F10" s="38" t="s">
        <v>61</v>
      </c>
      <c r="G10" s="39">
        <f>IF(G9&lt;$D$23,$G$9/(100*$D$17)*$D$29*$D$14,$D$23/(100*$D$17)*$D$29*$D$14)</f>
        <v>536.59197250645718</v>
      </c>
      <c r="H10" s="39">
        <f>IF(H9&lt;$D$23,H9/(100*$D$17)*$D$29*$D$14,$D$23/(100*$D$17)*$D$29*$D$14)</f>
        <v>565.38506700229402</v>
      </c>
      <c r="I10" s="39">
        <f t="shared" ref="I10:M10" si="10">IF(I9&lt;$D$23,I9/(100*$D$17)*$D$29*$D$14,$D$23/(100*$D$17)*$D$29*$D$14)</f>
        <v>566.93008133930266</v>
      </c>
      <c r="J10" s="39">
        <f t="shared" si="10"/>
        <v>567.0129855683673</v>
      </c>
      <c r="K10" s="39">
        <f t="shared" si="10"/>
        <v>567.01743414274767</v>
      </c>
      <c r="L10" s="39">
        <f t="shared" si="10"/>
        <v>567.01767284967764</v>
      </c>
      <c r="M10" s="40">
        <f t="shared" si="10"/>
        <v>567.0176856585</v>
      </c>
    </row>
    <row r="11" spans="1:13" ht="15.75" thickBot="1" x14ac:dyDescent="0.3">
      <c r="A11" s="28" t="s">
        <v>17</v>
      </c>
      <c r="B11" t="s">
        <v>18</v>
      </c>
      <c r="C11" s="31">
        <f>M3-M6</f>
        <v>48022.103100968474</v>
      </c>
      <c r="F11" s="41" t="s">
        <v>11</v>
      </c>
      <c r="G11" s="42">
        <f>G10+D7</f>
        <v>10536.591972506458</v>
      </c>
      <c r="H11" s="42">
        <f>H10+$D$7</f>
        <v>10565.385067002295</v>
      </c>
      <c r="I11" s="42">
        <f t="shared" ref="I11:M11" si="11">I10+$D$7</f>
        <v>10566.930081339302</v>
      </c>
      <c r="J11" s="42">
        <f t="shared" si="11"/>
        <v>10567.012985568368</v>
      </c>
      <c r="K11" s="42">
        <f t="shared" si="11"/>
        <v>10567.017434142748</v>
      </c>
      <c r="L11" s="42">
        <f t="shared" si="11"/>
        <v>10567.017672849677</v>
      </c>
      <c r="M11" s="43">
        <f t="shared" si="11"/>
        <v>10567.0176856585</v>
      </c>
    </row>
    <row r="12" spans="1:13" x14ac:dyDescent="0.25">
      <c r="A12" s="28" t="s">
        <v>19</v>
      </c>
      <c r="B12" t="s">
        <v>20</v>
      </c>
      <c r="C12" s="31">
        <f>M3-C9</f>
        <v>48022.103100968474</v>
      </c>
      <c r="D12" s="1">
        <f>M9-M11</f>
        <v>1100.0128834464358</v>
      </c>
    </row>
    <row r="13" spans="1:13" x14ac:dyDescent="0.25">
      <c r="A13" s="28" t="s">
        <v>21</v>
      </c>
      <c r="B13" t="s">
        <v>22</v>
      </c>
      <c r="C13" s="1">
        <v>365</v>
      </c>
      <c r="D13" s="1">
        <f>C13</f>
        <v>365</v>
      </c>
    </row>
    <row r="14" spans="1:13" x14ac:dyDescent="0.25">
      <c r="A14" s="28" t="s">
        <v>23</v>
      </c>
      <c r="B14" t="s">
        <v>25</v>
      </c>
      <c r="C14" s="1">
        <f>IF(AND('Single Premium Calculator'!B17="Single",C2&lt;15001),'Life Rates'!B2,IF(AND('Single Premium Calculator'!B17="Joint",C2&lt;15001),'Life Rates'!B4,IF(AND('Single Premium Calculator'!B17="Single",C2&gt;15000),'Life Rates'!B3,IF(AND('Single Premium Calculator'!B17="Joint",C2&gt;15000),'Life Rates'!B5,0))))</f>
        <v>0.95</v>
      </c>
      <c r="D14" s="1">
        <f>IF('Single Premium Calculator'!B17="Single",'Life Rates'!D2/12*D30,'Life Rates'!D4/12*D30)</f>
        <v>1.62</v>
      </c>
    </row>
    <row r="15" spans="1:13" x14ac:dyDescent="0.25">
      <c r="A15" s="28" t="s">
        <v>24</v>
      </c>
      <c r="B15" t="s">
        <v>73</v>
      </c>
      <c r="C15" s="32">
        <f>IF(AND('Single Premium Calculator'!B18="Joint",C2&lt;15001),VLOOKUP(C19,'Disability Rate Table'!Q9:R129,2,FALSE),IF(AND('Single Premium Calculator'!B18="Joint",C2&gt;1500),VLOOKUP(C19,'Disability Rate Table'!T9:U129,2,FALSE),IF(AND('Single Premium Calculator'!B18="Single",C2&lt;15001),VLOOKUP(C19,'Disability Rate Table'!A9:B129,2,FALSE),IF(AND('Single Premium Calculator'!B18="Single",C2&gt;15000),VLOOKUP(C19,'Disability Rate Table'!K9:L129,2,FALSE),0))))</f>
        <v>9.990000000000002</v>
      </c>
    </row>
    <row r="16" spans="1:13" x14ac:dyDescent="0.25">
      <c r="A16" s="28" t="s">
        <v>26</v>
      </c>
      <c r="B16" t="s">
        <v>27</v>
      </c>
      <c r="C16" s="1">
        <f>DATEDIF('Single Premium Calculator'!B2,'Single Premium Calculator'!B3,"D")</f>
        <v>28</v>
      </c>
      <c r="D16" s="1">
        <f>C16</f>
        <v>28</v>
      </c>
    </row>
    <row r="17" spans="1:10" x14ac:dyDescent="0.25">
      <c r="A17" s="28" t="s">
        <v>49</v>
      </c>
      <c r="B17" t="s">
        <v>132</v>
      </c>
      <c r="C17" s="1">
        <f>'Single Premium Calculator'!B6</f>
        <v>5</v>
      </c>
      <c r="D17" s="1">
        <f>'Single Premium Calculator'!B6</f>
        <v>5</v>
      </c>
    </row>
    <row r="18" spans="1:10" ht="45" x14ac:dyDescent="0.25">
      <c r="A18" s="28" t="s">
        <v>62</v>
      </c>
      <c r="B18" s="1" t="s">
        <v>63</v>
      </c>
      <c r="C18" s="33">
        <f>ROUND(C52,0)</f>
        <v>60</v>
      </c>
    </row>
    <row r="19" spans="1:10" ht="45" x14ac:dyDescent="0.25">
      <c r="A19" s="28" t="s">
        <v>64</v>
      </c>
      <c r="B19" s="1" t="s">
        <v>65</v>
      </c>
      <c r="C19" s="1">
        <f>ROUND(C53,0)</f>
        <v>60</v>
      </c>
    </row>
    <row r="20" spans="1:10" x14ac:dyDescent="0.25">
      <c r="A20" s="28" t="s">
        <v>29</v>
      </c>
      <c r="B20" t="s">
        <v>30</v>
      </c>
      <c r="C20" s="33">
        <f>'Single Premium Calculator'!B4*100</f>
        <v>5</v>
      </c>
      <c r="D20" s="1">
        <f>C20</f>
        <v>5</v>
      </c>
    </row>
    <row r="21" spans="1:10" x14ac:dyDescent="0.25">
      <c r="A21" s="28" t="s">
        <v>31</v>
      </c>
      <c r="B21" t="s">
        <v>32</v>
      </c>
      <c r="C21" s="1">
        <f>C20/C13/100</f>
        <v>1.36986301369863E-4</v>
      </c>
      <c r="D21" s="1">
        <f>C21</f>
        <v>1.36986301369863E-4</v>
      </c>
    </row>
    <row r="22" spans="1:10" x14ac:dyDescent="0.25">
      <c r="A22" s="28" t="s">
        <v>33</v>
      </c>
      <c r="B22" t="s">
        <v>34</v>
      </c>
      <c r="C22" s="1">
        <f>1+C16*C21</f>
        <v>1.0038356164383562</v>
      </c>
      <c r="D22" s="1">
        <f>C22</f>
        <v>1.0038356164383562</v>
      </c>
    </row>
    <row r="23" spans="1:10" x14ac:dyDescent="0.25">
      <c r="A23" s="28" t="s">
        <v>35</v>
      </c>
      <c r="B23" t="s">
        <v>36</v>
      </c>
      <c r="C23" s="1">
        <v>100000</v>
      </c>
      <c r="D23" s="1">
        <f>C23</f>
        <v>100000</v>
      </c>
    </row>
    <row r="24" spans="1:10" x14ac:dyDescent="0.25">
      <c r="A24" s="28" t="s">
        <v>37</v>
      </c>
      <c r="B24" t="s">
        <v>38</v>
      </c>
      <c r="C24" s="1">
        <v>1000</v>
      </c>
    </row>
    <row r="25" spans="1:10" x14ac:dyDescent="0.25">
      <c r="A25" s="28" t="s">
        <v>39</v>
      </c>
      <c r="B25" t="s">
        <v>40</v>
      </c>
      <c r="C25" s="1">
        <v>100000</v>
      </c>
    </row>
    <row r="26" spans="1:10" x14ac:dyDescent="0.25">
      <c r="A26" s="28" t="s">
        <v>41</v>
      </c>
      <c r="B26" t="s">
        <v>42</v>
      </c>
      <c r="C26" s="1">
        <f>MIN(C24*C53,C25)</f>
        <v>60000</v>
      </c>
    </row>
    <row r="27" spans="1:10" x14ac:dyDescent="0.25">
      <c r="A27" s="28" t="s">
        <v>47</v>
      </c>
      <c r="B27" t="s">
        <v>48</v>
      </c>
      <c r="C27" s="1">
        <f>C20/C28/100</f>
        <v>0.05</v>
      </c>
      <c r="D27" s="1">
        <f>D20/D28/100</f>
        <v>0.05</v>
      </c>
    </row>
    <row r="28" spans="1:10" x14ac:dyDescent="0.25">
      <c r="A28" s="28" t="s">
        <v>50</v>
      </c>
      <c r="B28" t="s">
        <v>51</v>
      </c>
      <c r="C28" s="1">
        <f>IF('Single Premium Calculator'!B7="Monthly",12,IF('Single Premium Calculator'!B7="Weekly",52,IF('Single Premium Calculator'!B7="Bi Weekly",26,IF('Single Premium Calculator'!B7="Semi Monthly",24,IF('Single Premium Calculator'!B7="Annual",1,IF('Single Premium Calculator'!B7="Semi-Annual",2,IF('Single Premium Calculator'!B7="Quarterly",4,IF('Single Premium Calculator'!B7="Bi-Monthly",6))))))))</f>
        <v>1</v>
      </c>
      <c r="D28" s="1">
        <f>C28</f>
        <v>1</v>
      </c>
    </row>
    <row r="29" spans="1:10" x14ac:dyDescent="0.25">
      <c r="A29" s="28" t="s">
        <v>137</v>
      </c>
      <c r="B29" t="s">
        <v>136</v>
      </c>
      <c r="D29" s="1">
        <f>(D17*(D17+1))/2+(D52/D30-D17)*D17</f>
        <v>15</v>
      </c>
      <c r="I29" t="s">
        <v>146</v>
      </c>
      <c r="J29" s="67">
        <f>C68</f>
        <v>44983</v>
      </c>
    </row>
    <row r="30" spans="1:10" x14ac:dyDescent="0.25">
      <c r="A30" s="28" t="s">
        <v>28</v>
      </c>
      <c r="B30" t="s">
        <v>131</v>
      </c>
      <c r="C30" s="1">
        <f>C17*12/C28</f>
        <v>60</v>
      </c>
      <c r="D30" s="1">
        <f>IF(D28=1,12,IF(D28=2,6,IF(D28=4,3,IF(D28=6,2,0))))</f>
        <v>12</v>
      </c>
      <c r="I30" t="s">
        <v>140</v>
      </c>
      <c r="J30" s="67">
        <f>C55</f>
        <v>43307</v>
      </c>
    </row>
    <row r="31" spans="1:10" x14ac:dyDescent="0.25">
      <c r="A31" s="28" t="s">
        <v>43</v>
      </c>
      <c r="C31" s="1">
        <f>1/(1+C27)</f>
        <v>0.95238095238095233</v>
      </c>
    </row>
    <row r="32" spans="1:10" x14ac:dyDescent="0.25">
      <c r="A32" s="28" t="s">
        <v>44</v>
      </c>
      <c r="C32" s="1">
        <f>((1-C31^C17)/C27)*(1+C27)</f>
        <v>4.5459505041623638</v>
      </c>
    </row>
    <row r="33" spans="1:3" x14ac:dyDescent="0.25">
      <c r="A33" s="28" t="s">
        <v>52</v>
      </c>
      <c r="C33" s="1">
        <f>C14*C18/1200</f>
        <v>4.7500000000000001E-2</v>
      </c>
    </row>
    <row r="34" spans="1:3" x14ac:dyDescent="0.25">
      <c r="A34" s="28" t="s">
        <v>53</v>
      </c>
      <c r="C34" s="32">
        <f>(C18+1)/2</f>
        <v>30.5</v>
      </c>
    </row>
    <row r="35" spans="1:3" x14ac:dyDescent="0.25">
      <c r="A35" s="28" t="s">
        <v>52</v>
      </c>
      <c r="C35" s="1">
        <f>C33</f>
        <v>4.7500000000000001E-2</v>
      </c>
    </row>
    <row r="36" spans="1:3" x14ac:dyDescent="0.25">
      <c r="A36" s="28" t="s">
        <v>54</v>
      </c>
      <c r="C36" s="1">
        <f>C15/100</f>
        <v>9.9900000000000017E-2</v>
      </c>
    </row>
    <row r="37" spans="1:3" x14ac:dyDescent="0.25">
      <c r="A37" s="28" t="s">
        <v>55</v>
      </c>
      <c r="C37" s="1">
        <f>MIN(C24*C30,C25)</f>
        <v>60000</v>
      </c>
    </row>
    <row r="38" spans="1:3" x14ac:dyDescent="0.25">
      <c r="B38" t="s">
        <v>85</v>
      </c>
      <c r="C38" s="1">
        <v>71</v>
      </c>
    </row>
    <row r="39" spans="1:3" x14ac:dyDescent="0.25">
      <c r="B39" t="s">
        <v>86</v>
      </c>
      <c r="C39" s="1">
        <v>66</v>
      </c>
    </row>
    <row r="40" spans="1:3" x14ac:dyDescent="0.25">
      <c r="B40" t="s">
        <v>83</v>
      </c>
      <c r="C40" s="1">
        <v>71</v>
      </c>
    </row>
    <row r="41" spans="1:3" x14ac:dyDescent="0.25">
      <c r="B41" t="s">
        <v>84</v>
      </c>
      <c r="C41" s="1">
        <v>71</v>
      </c>
    </row>
    <row r="42" spans="1:3" x14ac:dyDescent="0.25">
      <c r="B42" t="s">
        <v>87</v>
      </c>
      <c r="C42" s="1" t="str">
        <f>IF('Single Premium Calculator'!B8="","30",DATEDIF('Single Premium Calculator'!B8,Calculations!C47,"Y"))</f>
        <v>30</v>
      </c>
    </row>
    <row r="43" spans="1:3" x14ac:dyDescent="0.25">
      <c r="B43" t="s">
        <v>89</v>
      </c>
      <c r="C43" s="1">
        <f>DATEDIF('Single Premium Calculator'!B9,Calculations!C47,"Y")</f>
        <v>118</v>
      </c>
    </row>
    <row r="44" spans="1:3" x14ac:dyDescent="0.25">
      <c r="B44" t="s">
        <v>88</v>
      </c>
      <c r="C44" s="34" t="str">
        <f>IF('Single Premium Calculator'!B8="","12/31/2099",DATE(YEAR('Single Premium Calculator'!B8)+C40,MONTH('Single Premium Calculator'!B8),DAY('Single Premium Calculator'!B8)))</f>
        <v>12/31/2099</v>
      </c>
    </row>
    <row r="45" spans="1:3" x14ac:dyDescent="0.25">
      <c r="B45" t="s">
        <v>91</v>
      </c>
      <c r="C45" s="34" t="str">
        <f>IF('Single Premium Calculator'!B9="","12/31/2099",DATE(YEAR('Single Premium Calculator'!B9)+C40,MONTH('Single Premium Calculator'!B9),DAY('Single Premium Calculator'!B9)))</f>
        <v>12/31/2099</v>
      </c>
    </row>
    <row r="46" spans="1:3" x14ac:dyDescent="0.25">
      <c r="B46" t="s">
        <v>90</v>
      </c>
      <c r="C46" s="34" t="str">
        <f>IF('Single Premium Calculator'!B8="","12/31/2099",DATE(YEAR('Single Premium Calculator'!B8)+C41,MONTH('Single Premium Calculator'!B8),DAY('Single Premium Calculator'!B8)))</f>
        <v>12/31/2099</v>
      </c>
    </row>
    <row r="47" spans="1:3" x14ac:dyDescent="0.25">
      <c r="B47" t="s">
        <v>77</v>
      </c>
      <c r="C47" s="34">
        <f>'Single Premium Calculator'!B2</f>
        <v>43157</v>
      </c>
    </row>
    <row r="48" spans="1:3" x14ac:dyDescent="0.25">
      <c r="B48" t="s">
        <v>95</v>
      </c>
      <c r="C48" s="1">
        <f>DATEDIF(C47,C44,"M")+(DATEDIF(C47,C44,"MD")&gt;0)</f>
        <v>983</v>
      </c>
    </row>
    <row r="49" spans="2:4" x14ac:dyDescent="0.25">
      <c r="B49" t="s">
        <v>96</v>
      </c>
      <c r="C49" s="1" t="str">
        <f>IF(AND('Single Premium Calculator'!B17="Joint",C43&lt;C40),DATEDIF(C47,C45,"M")+(DATEDIF(C47,C45,"MD")&gt;0),"")</f>
        <v/>
      </c>
    </row>
    <row r="50" spans="2:4" x14ac:dyDescent="0.25">
      <c r="B50" t="s">
        <v>94</v>
      </c>
      <c r="C50" s="1">
        <f>IF('Single Premium Calculator'!B8="",C30,IF(C42&lt;C39,DATEDIF(C47,C46,"M")+(DATEDIF(C47,C46,"MD")&gt;0),0))</f>
        <v>60</v>
      </c>
    </row>
    <row r="52" spans="2:4" x14ac:dyDescent="0.25">
      <c r="B52" t="s">
        <v>92</v>
      </c>
      <c r="C52" s="1">
        <f>MIN(C48,C49,C30,120)</f>
        <v>60</v>
      </c>
      <c r="D52" s="1">
        <f>C52</f>
        <v>60</v>
      </c>
    </row>
    <row r="53" spans="2:4" x14ac:dyDescent="0.25">
      <c r="B53" t="s">
        <v>93</v>
      </c>
      <c r="C53" s="1">
        <f>MIN(C50,C30,120)</f>
        <v>60</v>
      </c>
      <c r="D53" s="1">
        <f>C53</f>
        <v>60</v>
      </c>
    </row>
    <row r="54" spans="2:4" x14ac:dyDescent="0.25">
      <c r="B54" t="s">
        <v>78</v>
      </c>
      <c r="C54" s="34">
        <f>'Single Premium Calculator'!B3</f>
        <v>43185</v>
      </c>
    </row>
    <row r="55" spans="2:4" x14ac:dyDescent="0.25">
      <c r="B55" t="s">
        <v>117</v>
      </c>
      <c r="C55" s="34">
        <f>DATE(YEAR(C47),MONTH(C47)+C17,DAY(C47))</f>
        <v>43307</v>
      </c>
    </row>
    <row r="56" spans="2:4" x14ac:dyDescent="0.25">
      <c r="B56" t="s">
        <v>128</v>
      </c>
      <c r="C56" s="31">
        <f>IF(M5=0,"                -",MIN(C23,M3))</f>
        <v>67208.507192617821</v>
      </c>
      <c r="D56" s="31">
        <f>IF(M10=0,"                -",MIN(D23,M9))</f>
        <v>11667.030569104936</v>
      </c>
    </row>
    <row r="57" spans="2:4" x14ac:dyDescent="0.25">
      <c r="B57" t="s">
        <v>129</v>
      </c>
      <c r="C57" s="31">
        <f>IF(M4=0,"                -",MIN(C24,M2))</f>
        <v>1000</v>
      </c>
    </row>
    <row r="58" spans="2:4" x14ac:dyDescent="0.25">
      <c r="B58" t="s">
        <v>125</v>
      </c>
      <c r="C58" s="31">
        <f>MIN(C26,M3)</f>
        <v>60000</v>
      </c>
    </row>
    <row r="59" spans="2:4" x14ac:dyDescent="0.25">
      <c r="B59" t="s">
        <v>126</v>
      </c>
      <c r="C59" s="31">
        <f>SUM(M4,M5)</f>
        <v>9186.4040916493468</v>
      </c>
    </row>
    <row r="60" spans="2:4" x14ac:dyDescent="0.25">
      <c r="B60" t="s">
        <v>43</v>
      </c>
      <c r="D60" s="1">
        <f>1/(1+D27)</f>
        <v>0.95238095238095233</v>
      </c>
    </row>
    <row r="61" spans="2:4" x14ac:dyDescent="0.25">
      <c r="B61" t="s">
        <v>135</v>
      </c>
      <c r="D61" s="1">
        <f>(1-D60^D17)/D27*(1+D27)</f>
        <v>4.5459505041623638</v>
      </c>
    </row>
    <row r="63" spans="2:4" x14ac:dyDescent="0.25">
      <c r="B63" t="s">
        <v>141</v>
      </c>
      <c r="C63" s="1">
        <f>IF(OR('Single Premium Calculator'!B7="Monthly",'Single Premium Calculator'!B7="Weekly",'Single Premium Calculator'!B7="Bi Weekly",'Single Premium Calculator'!B7="Semi Monthly"),1,2)</f>
        <v>2</v>
      </c>
    </row>
    <row r="68" spans="2:3" x14ac:dyDescent="0.25">
      <c r="B68" t="s">
        <v>146</v>
      </c>
      <c r="C68" s="68">
        <f>DATE(YEAR(C47),MONTH(C47)+(C17*12),DAY(C47))</f>
        <v>44983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9"/>
  <sheetViews>
    <sheetView workbookViewId="0">
      <selection sqref="A1:X131"/>
    </sheetView>
  </sheetViews>
  <sheetFormatPr defaultColWidth="8.85546875" defaultRowHeight="15" x14ac:dyDescent="0.25"/>
  <cols>
    <col min="8" max="8" width="11.140625" customWidth="1"/>
  </cols>
  <sheetData>
    <row r="1" spans="1:21" ht="15.75" x14ac:dyDescent="0.25">
      <c r="A1" s="79" t="s">
        <v>66</v>
      </c>
      <c r="B1" s="79"/>
      <c r="C1" s="79"/>
      <c r="D1" s="79"/>
      <c r="E1" s="79"/>
      <c r="F1" s="79"/>
      <c r="G1" s="79"/>
      <c r="H1" s="79"/>
      <c r="K1" s="79" t="s">
        <v>66</v>
      </c>
      <c r="L1" s="79"/>
      <c r="M1" s="79"/>
      <c r="N1" s="79"/>
      <c r="O1" s="79"/>
      <c r="P1" s="79"/>
      <c r="Q1" s="79"/>
      <c r="R1" s="79"/>
    </row>
    <row r="2" spans="1:21" ht="15.75" x14ac:dyDescent="0.25">
      <c r="A2" s="79" t="s">
        <v>130</v>
      </c>
      <c r="B2" s="79"/>
      <c r="C2" s="79"/>
      <c r="D2" s="79"/>
      <c r="E2" s="79"/>
      <c r="F2" s="79"/>
      <c r="G2" s="79"/>
      <c r="H2" s="79"/>
      <c r="K2" s="79" t="s">
        <v>130</v>
      </c>
      <c r="L2" s="79"/>
      <c r="M2" s="79"/>
      <c r="N2" s="79"/>
      <c r="O2" s="79"/>
      <c r="P2" s="79"/>
      <c r="Q2" s="79"/>
      <c r="R2" s="79"/>
    </row>
    <row r="3" spans="1:21" ht="15.75" x14ac:dyDescent="0.25">
      <c r="A3" s="80" t="s">
        <v>67</v>
      </c>
      <c r="B3" s="80"/>
      <c r="C3" s="80"/>
      <c r="D3" s="80"/>
      <c r="E3" s="80"/>
      <c r="F3" s="80"/>
      <c r="G3" s="80"/>
      <c r="H3" s="80"/>
      <c r="K3" s="80" t="s">
        <v>72</v>
      </c>
      <c r="L3" s="80"/>
      <c r="M3" s="80"/>
      <c r="N3" s="80"/>
      <c r="O3" s="80"/>
      <c r="P3" s="80"/>
      <c r="Q3" s="80"/>
      <c r="R3" s="80"/>
    </row>
    <row r="4" spans="1:21" ht="15.75" x14ac:dyDescent="0.25">
      <c r="A4" s="80" t="s">
        <v>68</v>
      </c>
      <c r="B4" s="80"/>
      <c r="C4" s="80"/>
      <c r="D4" s="80"/>
      <c r="E4" s="80"/>
      <c r="F4" s="80"/>
      <c r="G4" s="80"/>
      <c r="H4" s="80"/>
      <c r="K4" s="79" t="s">
        <v>69</v>
      </c>
      <c r="L4" s="79"/>
      <c r="M4" s="79"/>
      <c r="N4" s="79"/>
      <c r="O4" s="79"/>
      <c r="P4" s="79"/>
      <c r="Q4" s="79"/>
      <c r="R4" s="79"/>
    </row>
    <row r="5" spans="1:21" ht="15.75" x14ac:dyDescent="0.25">
      <c r="A5" s="79" t="s">
        <v>69</v>
      </c>
      <c r="B5" s="79"/>
      <c r="C5" s="79"/>
      <c r="D5" s="79"/>
      <c r="E5" s="79"/>
      <c r="F5" s="79"/>
      <c r="G5" s="79"/>
      <c r="H5" s="79"/>
      <c r="K5" s="64"/>
      <c r="L5" s="64"/>
      <c r="M5" s="64"/>
      <c r="N5" s="2"/>
      <c r="O5" s="64"/>
      <c r="P5" s="64"/>
      <c r="Q5" s="64"/>
      <c r="R5" s="64"/>
    </row>
    <row r="6" spans="1:21" ht="15.75" x14ac:dyDescent="0.25">
      <c r="A6" s="64"/>
      <c r="B6" s="64"/>
      <c r="C6" s="64"/>
      <c r="D6" s="2"/>
      <c r="E6" s="64"/>
      <c r="F6" s="64"/>
      <c r="G6" s="64"/>
      <c r="H6" s="64"/>
      <c r="S6" t="s">
        <v>144</v>
      </c>
    </row>
    <row r="7" spans="1:21" ht="39" x14ac:dyDescent="0.25">
      <c r="A7" s="3" t="s">
        <v>70</v>
      </c>
      <c r="B7" s="3" t="s">
        <v>71</v>
      </c>
      <c r="C7" s="3"/>
      <c r="D7" s="3"/>
      <c r="E7" s="3"/>
      <c r="F7" s="3"/>
      <c r="G7" s="3"/>
      <c r="H7" s="3"/>
      <c r="K7" s="3" t="s">
        <v>70</v>
      </c>
      <c r="L7" s="3" t="s">
        <v>71</v>
      </c>
      <c r="M7" s="3"/>
      <c r="N7" s="3"/>
      <c r="O7" s="3"/>
      <c r="Q7" s="3"/>
      <c r="R7" s="3"/>
    </row>
    <row r="8" spans="1:21" x14ac:dyDescent="0.25">
      <c r="A8" s="4"/>
      <c r="B8" s="5"/>
      <c r="C8" s="5"/>
      <c r="D8" s="4"/>
      <c r="E8" s="5"/>
      <c r="F8" s="5"/>
      <c r="G8" s="4"/>
      <c r="H8" s="5"/>
      <c r="K8" s="3"/>
      <c r="L8" s="3"/>
      <c r="M8" s="5"/>
    </row>
    <row r="9" spans="1:21" x14ac:dyDescent="0.25">
      <c r="A9" s="4">
        <v>0</v>
      </c>
      <c r="B9" s="5"/>
      <c r="C9" s="5"/>
      <c r="D9" s="4"/>
      <c r="E9" s="5"/>
      <c r="F9" s="5"/>
      <c r="G9" s="4"/>
      <c r="H9" s="5"/>
      <c r="K9" s="3">
        <v>0</v>
      </c>
      <c r="L9" s="3"/>
      <c r="M9" s="5"/>
      <c r="Q9">
        <v>0</v>
      </c>
      <c r="T9">
        <v>0</v>
      </c>
    </row>
    <row r="10" spans="1:21" ht="15.75" x14ac:dyDescent="0.25">
      <c r="A10" s="5">
        <v>1</v>
      </c>
      <c r="B10" s="27">
        <v>0.3</v>
      </c>
      <c r="C10" s="6"/>
      <c r="D10" s="5"/>
      <c r="E10" s="6"/>
      <c r="F10" s="6"/>
      <c r="G10" s="5"/>
      <c r="H10" s="6"/>
      <c r="K10" s="5">
        <v>1</v>
      </c>
      <c r="L10" s="27">
        <v>0.3</v>
      </c>
      <c r="M10" s="6"/>
      <c r="Q10" s="65">
        <v>1</v>
      </c>
      <c r="R10" s="66">
        <v>0.55500000000000005</v>
      </c>
      <c r="T10" s="65">
        <v>1</v>
      </c>
      <c r="U10" s="66">
        <v>0.55500000000000005</v>
      </c>
    </row>
    <row r="11" spans="1:21" ht="15.75" x14ac:dyDescent="0.25">
      <c r="A11" s="5">
        <v>2</v>
      </c>
      <c r="B11" s="27">
        <v>0.6</v>
      </c>
      <c r="C11" s="6"/>
      <c r="D11" s="5"/>
      <c r="E11" s="6"/>
      <c r="F11" s="6"/>
      <c r="G11" s="5"/>
      <c r="H11" s="6"/>
      <c r="K11" s="5">
        <v>2</v>
      </c>
      <c r="L11" s="27">
        <v>0.6</v>
      </c>
      <c r="M11" s="6"/>
      <c r="Q11" s="65">
        <v>2</v>
      </c>
      <c r="R11" s="66">
        <v>1.1100000000000001</v>
      </c>
      <c r="T11" s="65">
        <v>2</v>
      </c>
      <c r="U11" s="66">
        <v>1.1100000000000001</v>
      </c>
    </row>
    <row r="12" spans="1:21" ht="15.75" x14ac:dyDescent="0.25">
      <c r="A12" s="5">
        <v>3</v>
      </c>
      <c r="B12" s="27">
        <v>0.9</v>
      </c>
      <c r="C12" s="6"/>
      <c r="D12" s="5"/>
      <c r="E12" s="6"/>
      <c r="F12" s="6"/>
      <c r="G12" s="5"/>
      <c r="H12" s="6"/>
      <c r="K12" s="5">
        <v>3</v>
      </c>
      <c r="L12" s="27">
        <v>0.9</v>
      </c>
      <c r="M12" s="6"/>
      <c r="Q12" s="65">
        <v>3</v>
      </c>
      <c r="R12" s="66">
        <v>1.665</v>
      </c>
      <c r="T12" s="65">
        <v>3</v>
      </c>
      <c r="U12" s="66">
        <v>1.665</v>
      </c>
    </row>
    <row r="13" spans="1:21" ht="15.75" x14ac:dyDescent="0.25">
      <c r="A13" s="5">
        <v>4</v>
      </c>
      <c r="B13" s="27">
        <v>1.2</v>
      </c>
      <c r="C13" s="6"/>
      <c r="D13" s="5"/>
      <c r="E13" s="6"/>
      <c r="F13" s="6"/>
      <c r="G13" s="5"/>
      <c r="H13" s="6"/>
      <c r="K13" s="5">
        <v>4</v>
      </c>
      <c r="L13" s="27">
        <v>1.2</v>
      </c>
      <c r="M13" s="6"/>
      <c r="Q13" s="65">
        <v>4</v>
      </c>
      <c r="R13" s="66">
        <v>2.2200000000000002</v>
      </c>
      <c r="T13" s="65">
        <v>4</v>
      </c>
      <c r="U13" s="66">
        <v>2.2200000000000002</v>
      </c>
    </row>
    <row r="14" spans="1:21" ht="15.75" x14ac:dyDescent="0.25">
      <c r="A14" s="5">
        <v>5</v>
      </c>
      <c r="B14" s="27">
        <v>1.5</v>
      </c>
      <c r="C14" s="6"/>
      <c r="D14" s="5"/>
      <c r="E14" s="6"/>
      <c r="F14" s="6"/>
      <c r="G14" s="5"/>
      <c r="H14" s="6"/>
      <c r="K14" s="5">
        <v>5</v>
      </c>
      <c r="L14" s="27">
        <v>1.5</v>
      </c>
      <c r="M14" s="6"/>
      <c r="Q14" s="65">
        <v>5</v>
      </c>
      <c r="R14" s="66">
        <v>2.7750000000000004</v>
      </c>
      <c r="T14" s="65">
        <v>5</v>
      </c>
      <c r="U14" s="66">
        <v>2.7750000000000004</v>
      </c>
    </row>
    <row r="15" spans="1:21" ht="15.75" x14ac:dyDescent="0.25">
      <c r="A15" s="5">
        <v>6</v>
      </c>
      <c r="B15" s="27">
        <v>1.8</v>
      </c>
      <c r="C15" s="6"/>
      <c r="D15" s="5"/>
      <c r="E15" s="6"/>
      <c r="F15" s="6"/>
      <c r="G15" s="5"/>
      <c r="H15" s="6"/>
      <c r="K15" s="5">
        <v>6</v>
      </c>
      <c r="L15" s="27">
        <v>1.8</v>
      </c>
      <c r="M15" s="6"/>
      <c r="Q15" s="65">
        <v>6</v>
      </c>
      <c r="R15" s="66">
        <v>3.33</v>
      </c>
      <c r="T15" s="65">
        <v>6</v>
      </c>
      <c r="U15" s="66">
        <v>3.33</v>
      </c>
    </row>
    <row r="16" spans="1:21" ht="15.75" x14ac:dyDescent="0.25">
      <c r="A16" s="5">
        <v>7</v>
      </c>
      <c r="B16" s="27">
        <v>1.87</v>
      </c>
      <c r="C16" s="6"/>
      <c r="D16" s="5"/>
      <c r="E16" s="6"/>
      <c r="F16" s="6"/>
      <c r="G16" s="5"/>
      <c r="H16" s="6"/>
      <c r="K16" s="5">
        <v>7</v>
      </c>
      <c r="L16" s="27">
        <v>1.87</v>
      </c>
      <c r="M16" s="6"/>
      <c r="Q16" s="65">
        <v>7</v>
      </c>
      <c r="R16" s="66">
        <v>3.4595000000000002</v>
      </c>
      <c r="T16" s="65">
        <v>7</v>
      </c>
      <c r="U16" s="66">
        <v>3.4595000000000002</v>
      </c>
    </row>
    <row r="17" spans="1:21" ht="15.75" x14ac:dyDescent="0.25">
      <c r="A17" s="5">
        <v>8</v>
      </c>
      <c r="B17" s="27">
        <v>1.93</v>
      </c>
      <c r="C17" s="6"/>
      <c r="D17" s="5"/>
      <c r="E17" s="6"/>
      <c r="F17" s="6"/>
      <c r="G17" s="5"/>
      <c r="H17" s="6"/>
      <c r="K17" s="5">
        <v>8</v>
      </c>
      <c r="L17" s="27">
        <v>1.93</v>
      </c>
      <c r="M17" s="6"/>
      <c r="Q17" s="65">
        <v>8</v>
      </c>
      <c r="R17" s="66">
        <v>3.5705</v>
      </c>
      <c r="T17" s="65">
        <v>8</v>
      </c>
      <c r="U17" s="66">
        <v>3.5705</v>
      </c>
    </row>
    <row r="18" spans="1:21" ht="15.75" x14ac:dyDescent="0.25">
      <c r="A18" s="5">
        <v>9</v>
      </c>
      <c r="B18" s="27">
        <v>2</v>
      </c>
      <c r="C18" s="6"/>
      <c r="D18" s="5"/>
      <c r="E18" s="6"/>
      <c r="F18" s="6"/>
      <c r="G18" s="5"/>
      <c r="H18" s="6"/>
      <c r="K18" s="5">
        <v>9</v>
      </c>
      <c r="L18" s="27">
        <v>2</v>
      </c>
      <c r="M18" s="6"/>
      <c r="Q18" s="65">
        <v>9</v>
      </c>
      <c r="R18" s="66">
        <v>3.7</v>
      </c>
      <c r="T18" s="65">
        <v>9</v>
      </c>
      <c r="U18" s="66">
        <v>3.7</v>
      </c>
    </row>
    <row r="19" spans="1:21" ht="15.75" x14ac:dyDescent="0.25">
      <c r="A19" s="5">
        <v>10</v>
      </c>
      <c r="B19" s="27">
        <v>2.06</v>
      </c>
      <c r="C19" s="6"/>
      <c r="D19" s="5"/>
      <c r="E19" s="6"/>
      <c r="F19" s="6"/>
      <c r="G19" s="5"/>
      <c r="H19" s="6"/>
      <c r="K19" s="5">
        <v>10</v>
      </c>
      <c r="L19" s="27">
        <v>2.06</v>
      </c>
      <c r="M19" s="6"/>
      <c r="Q19" s="65">
        <v>10</v>
      </c>
      <c r="R19" s="66">
        <v>3.8110000000000004</v>
      </c>
      <c r="T19" s="65">
        <v>10</v>
      </c>
      <c r="U19" s="66">
        <v>3.8110000000000004</v>
      </c>
    </row>
    <row r="20" spans="1:21" ht="15.75" x14ac:dyDescent="0.25">
      <c r="A20" s="5">
        <v>11</v>
      </c>
      <c r="B20" s="27">
        <v>2.13</v>
      </c>
      <c r="C20" s="6"/>
      <c r="D20" s="5"/>
      <c r="E20" s="6"/>
      <c r="F20" s="6"/>
      <c r="G20" s="5"/>
      <c r="H20" s="6"/>
      <c r="K20" s="5">
        <v>11</v>
      </c>
      <c r="L20" s="27">
        <v>2.13</v>
      </c>
      <c r="M20" s="6"/>
      <c r="Q20" s="65">
        <v>11</v>
      </c>
      <c r="R20" s="66">
        <v>3.9405000000000001</v>
      </c>
      <c r="T20" s="65">
        <v>11</v>
      </c>
      <c r="U20" s="66">
        <v>3.9405000000000001</v>
      </c>
    </row>
    <row r="21" spans="1:21" ht="15.75" x14ac:dyDescent="0.25">
      <c r="A21" s="5">
        <v>12</v>
      </c>
      <c r="B21" s="27">
        <v>2.2000000000000002</v>
      </c>
      <c r="C21" s="6"/>
      <c r="D21" s="5"/>
      <c r="E21" s="6"/>
      <c r="F21" s="6"/>
      <c r="G21" s="5"/>
      <c r="H21" s="6"/>
      <c r="K21" s="5">
        <v>12</v>
      </c>
      <c r="L21" s="27">
        <v>2.2000000000000002</v>
      </c>
      <c r="M21" s="6"/>
      <c r="Q21" s="65">
        <v>12</v>
      </c>
      <c r="R21" s="66">
        <v>4.07</v>
      </c>
      <c r="T21" s="65">
        <v>12</v>
      </c>
      <c r="U21" s="66">
        <v>4.07</v>
      </c>
    </row>
    <row r="22" spans="1:21" ht="15.75" x14ac:dyDescent="0.25">
      <c r="A22" s="5">
        <v>13</v>
      </c>
      <c r="B22" s="27">
        <v>2.27</v>
      </c>
      <c r="C22" s="6"/>
      <c r="D22" s="5"/>
      <c r="E22" s="6"/>
      <c r="F22" s="6"/>
      <c r="G22" s="5"/>
      <c r="H22" s="6"/>
      <c r="K22" s="5">
        <v>13</v>
      </c>
      <c r="L22" s="27">
        <v>2.27</v>
      </c>
      <c r="M22" s="6"/>
      <c r="Q22" s="65">
        <v>13</v>
      </c>
      <c r="R22" s="66">
        <v>4.1995000000000005</v>
      </c>
      <c r="T22" s="65">
        <v>13</v>
      </c>
      <c r="U22" s="66">
        <v>4.1995000000000005</v>
      </c>
    </row>
    <row r="23" spans="1:21" ht="15.75" x14ac:dyDescent="0.25">
      <c r="A23" s="5">
        <v>14</v>
      </c>
      <c r="B23" s="27">
        <v>2.33</v>
      </c>
      <c r="C23" s="6"/>
      <c r="D23" s="5"/>
      <c r="E23" s="6"/>
      <c r="F23" s="6"/>
      <c r="G23" s="5"/>
      <c r="H23" s="6"/>
      <c r="K23" s="5">
        <v>14</v>
      </c>
      <c r="L23" s="27">
        <v>2.33</v>
      </c>
      <c r="M23" s="6"/>
      <c r="Q23" s="65">
        <v>14</v>
      </c>
      <c r="R23" s="66">
        <v>4.3105000000000002</v>
      </c>
      <c r="T23" s="65">
        <v>14</v>
      </c>
      <c r="U23" s="66">
        <v>4.3105000000000002</v>
      </c>
    </row>
    <row r="24" spans="1:21" ht="15.75" x14ac:dyDescent="0.25">
      <c r="A24" s="5">
        <v>15</v>
      </c>
      <c r="B24" s="27">
        <v>2.4</v>
      </c>
      <c r="C24" s="6"/>
      <c r="D24" s="5"/>
      <c r="E24" s="6"/>
      <c r="F24" s="6"/>
      <c r="G24" s="5"/>
      <c r="H24" s="6"/>
      <c r="K24" s="5">
        <v>15</v>
      </c>
      <c r="L24" s="27">
        <v>2.4</v>
      </c>
      <c r="M24" s="6"/>
      <c r="Q24" s="65">
        <v>15</v>
      </c>
      <c r="R24" s="66">
        <v>4.4400000000000004</v>
      </c>
      <c r="T24" s="65">
        <v>15</v>
      </c>
      <c r="U24" s="66">
        <v>4.4400000000000004</v>
      </c>
    </row>
    <row r="25" spans="1:21" ht="15.75" x14ac:dyDescent="0.25">
      <c r="A25" s="5">
        <v>16</v>
      </c>
      <c r="B25" s="27">
        <v>2.4700000000000002</v>
      </c>
      <c r="C25" s="6"/>
      <c r="D25" s="5"/>
      <c r="E25" s="6"/>
      <c r="F25" s="6"/>
      <c r="G25" s="5"/>
      <c r="H25" s="6"/>
      <c r="K25" s="5">
        <v>16</v>
      </c>
      <c r="L25" s="27">
        <v>2.4700000000000002</v>
      </c>
      <c r="M25" s="6"/>
      <c r="Q25" s="65">
        <v>16</v>
      </c>
      <c r="R25" s="66">
        <v>4.5695000000000006</v>
      </c>
      <c r="T25" s="65">
        <v>16</v>
      </c>
      <c r="U25" s="66">
        <v>4.5695000000000006</v>
      </c>
    </row>
    <row r="26" spans="1:21" ht="15.75" x14ac:dyDescent="0.25">
      <c r="A26" s="5">
        <v>17</v>
      </c>
      <c r="B26" s="27">
        <v>2.5299999999999998</v>
      </c>
      <c r="C26" s="6"/>
      <c r="D26" s="5"/>
      <c r="E26" s="6"/>
      <c r="F26" s="6"/>
      <c r="G26" s="5"/>
      <c r="H26" s="6"/>
      <c r="K26" s="5">
        <v>17</v>
      </c>
      <c r="L26" s="27">
        <v>2.5299999999999998</v>
      </c>
      <c r="M26" s="6"/>
      <c r="Q26" s="65">
        <v>17</v>
      </c>
      <c r="R26" s="66">
        <v>4.6804999999999994</v>
      </c>
      <c r="T26" s="65">
        <v>17</v>
      </c>
      <c r="U26" s="66">
        <v>4.6804999999999994</v>
      </c>
    </row>
    <row r="27" spans="1:21" ht="15.75" x14ac:dyDescent="0.25">
      <c r="A27" s="5">
        <v>18</v>
      </c>
      <c r="B27" s="27">
        <v>2.6</v>
      </c>
      <c r="C27" s="6"/>
      <c r="D27" s="5"/>
      <c r="E27" s="6"/>
      <c r="F27" s="6"/>
      <c r="G27" s="5"/>
      <c r="H27" s="6"/>
      <c r="K27" s="5">
        <v>18</v>
      </c>
      <c r="L27" s="27">
        <v>2.6</v>
      </c>
      <c r="M27" s="6"/>
      <c r="Q27" s="65">
        <v>18</v>
      </c>
      <c r="R27" s="66">
        <v>4.8100000000000005</v>
      </c>
      <c r="T27" s="65">
        <v>18</v>
      </c>
      <c r="U27" s="66">
        <v>4.8100000000000005</v>
      </c>
    </row>
    <row r="28" spans="1:21" ht="15.75" x14ac:dyDescent="0.25">
      <c r="A28" s="5">
        <v>19</v>
      </c>
      <c r="B28" s="27">
        <v>2.67</v>
      </c>
      <c r="C28" s="6"/>
      <c r="D28" s="5"/>
      <c r="E28" s="6"/>
      <c r="F28" s="6"/>
      <c r="G28" s="5"/>
      <c r="H28" s="6"/>
      <c r="K28" s="5">
        <v>19</v>
      </c>
      <c r="L28" s="27">
        <v>2.67</v>
      </c>
      <c r="M28" s="6"/>
      <c r="Q28" s="65">
        <v>19</v>
      </c>
      <c r="R28" s="66">
        <v>4.9394999999999998</v>
      </c>
      <c r="T28" s="65">
        <v>19</v>
      </c>
      <c r="U28" s="66">
        <v>4.9394999999999998</v>
      </c>
    </row>
    <row r="29" spans="1:21" ht="15.75" x14ac:dyDescent="0.25">
      <c r="A29" s="5">
        <v>20</v>
      </c>
      <c r="B29" s="27">
        <v>2.73</v>
      </c>
      <c r="C29" s="6"/>
      <c r="D29" s="5"/>
      <c r="E29" s="6"/>
      <c r="F29" s="6"/>
      <c r="G29" s="5"/>
      <c r="H29" s="6"/>
      <c r="K29" s="5">
        <v>20</v>
      </c>
      <c r="L29" s="27">
        <v>2.73</v>
      </c>
      <c r="M29" s="6"/>
      <c r="Q29" s="65">
        <v>20</v>
      </c>
      <c r="R29" s="66">
        <v>5.0505000000000004</v>
      </c>
      <c r="T29" s="65">
        <v>20</v>
      </c>
      <c r="U29" s="66">
        <v>5.0505000000000004</v>
      </c>
    </row>
    <row r="30" spans="1:21" ht="15.75" x14ac:dyDescent="0.25">
      <c r="A30" s="5">
        <v>21</v>
      </c>
      <c r="B30" s="27">
        <v>2.8</v>
      </c>
      <c r="C30" s="6"/>
      <c r="D30" s="5"/>
      <c r="E30" s="6"/>
      <c r="F30" s="6"/>
      <c r="G30" s="5"/>
      <c r="H30" s="6"/>
      <c r="K30" s="5">
        <v>21</v>
      </c>
      <c r="L30" s="27">
        <v>2.8</v>
      </c>
      <c r="M30" s="6"/>
      <c r="Q30" s="65">
        <v>21</v>
      </c>
      <c r="R30" s="66">
        <v>5.18</v>
      </c>
      <c r="T30" s="65">
        <v>21</v>
      </c>
      <c r="U30" s="66">
        <v>5.18</v>
      </c>
    </row>
    <row r="31" spans="1:21" ht="15.75" x14ac:dyDescent="0.25">
      <c r="A31" s="5">
        <v>22</v>
      </c>
      <c r="B31" s="27">
        <v>2.87</v>
      </c>
      <c r="C31" s="6"/>
      <c r="D31" s="5"/>
      <c r="E31" s="6"/>
      <c r="F31" s="6"/>
      <c r="G31" s="5"/>
      <c r="H31" s="6"/>
      <c r="K31" s="5">
        <v>22</v>
      </c>
      <c r="L31" s="27">
        <v>2.87</v>
      </c>
      <c r="M31" s="6"/>
      <c r="Q31" s="65">
        <v>22</v>
      </c>
      <c r="R31" s="66">
        <v>5.3095000000000008</v>
      </c>
      <c r="T31" s="65">
        <v>22</v>
      </c>
      <c r="U31" s="66">
        <v>5.3095000000000008</v>
      </c>
    </row>
    <row r="32" spans="1:21" ht="15.75" x14ac:dyDescent="0.25">
      <c r="A32" s="5">
        <v>23</v>
      </c>
      <c r="B32" s="27">
        <v>2.93</v>
      </c>
      <c r="C32" s="6"/>
      <c r="D32" s="5"/>
      <c r="E32" s="6"/>
      <c r="F32" s="6"/>
      <c r="G32" s="5"/>
      <c r="H32" s="6"/>
      <c r="K32" s="5">
        <v>23</v>
      </c>
      <c r="L32" s="27">
        <v>2.93</v>
      </c>
      <c r="M32" s="6"/>
      <c r="Q32" s="65">
        <v>23</v>
      </c>
      <c r="R32" s="66">
        <v>5.4205000000000005</v>
      </c>
      <c r="T32" s="65">
        <v>23</v>
      </c>
      <c r="U32" s="66">
        <v>5.4205000000000005</v>
      </c>
    </row>
    <row r="33" spans="1:21" ht="15.75" x14ac:dyDescent="0.25">
      <c r="A33" s="5">
        <v>24</v>
      </c>
      <c r="B33" s="27">
        <v>3</v>
      </c>
      <c r="C33" s="6"/>
      <c r="D33" s="5"/>
      <c r="E33" s="6"/>
      <c r="F33" s="6"/>
      <c r="G33" s="5"/>
      <c r="H33" s="6"/>
      <c r="K33" s="5">
        <v>24</v>
      </c>
      <c r="L33" s="27">
        <v>3</v>
      </c>
      <c r="M33" s="6"/>
      <c r="Q33" s="65">
        <v>24</v>
      </c>
      <c r="R33" s="66">
        <v>5.5500000000000007</v>
      </c>
      <c r="T33" s="65">
        <v>24</v>
      </c>
      <c r="U33" s="66">
        <v>5.5500000000000007</v>
      </c>
    </row>
    <row r="34" spans="1:21" ht="15.75" x14ac:dyDescent="0.25">
      <c r="A34" s="5">
        <v>25</v>
      </c>
      <c r="B34" s="27">
        <v>3.07</v>
      </c>
      <c r="C34" s="6"/>
      <c r="D34" s="5"/>
      <c r="E34" s="6"/>
      <c r="F34" s="6"/>
      <c r="G34" s="5"/>
      <c r="H34" s="6"/>
      <c r="K34" s="5">
        <v>25</v>
      </c>
      <c r="L34" s="27">
        <v>3.07</v>
      </c>
      <c r="M34" s="6"/>
      <c r="Q34" s="65">
        <v>25</v>
      </c>
      <c r="R34" s="66">
        <v>5.6795</v>
      </c>
      <c r="T34" s="65">
        <v>25</v>
      </c>
      <c r="U34" s="66">
        <v>5.6795</v>
      </c>
    </row>
    <row r="35" spans="1:21" ht="15.75" x14ac:dyDescent="0.25">
      <c r="A35" s="5">
        <v>26</v>
      </c>
      <c r="B35" s="27">
        <v>3.13</v>
      </c>
      <c r="C35" s="6"/>
      <c r="D35" s="5"/>
      <c r="E35" s="6"/>
      <c r="F35" s="6"/>
      <c r="G35" s="5"/>
      <c r="H35" s="6"/>
      <c r="K35" s="5">
        <v>26</v>
      </c>
      <c r="L35" s="27">
        <v>3.13</v>
      </c>
      <c r="M35" s="6"/>
      <c r="Q35" s="65">
        <v>26</v>
      </c>
      <c r="R35" s="66">
        <v>5.7904999999999998</v>
      </c>
      <c r="T35" s="65">
        <v>26</v>
      </c>
      <c r="U35" s="66">
        <v>5.7904999999999998</v>
      </c>
    </row>
    <row r="36" spans="1:21" ht="15.75" x14ac:dyDescent="0.25">
      <c r="A36" s="5">
        <v>27</v>
      </c>
      <c r="B36" s="27">
        <v>3.2</v>
      </c>
      <c r="C36" s="6"/>
      <c r="D36" s="5"/>
      <c r="E36" s="6"/>
      <c r="F36" s="6"/>
      <c r="G36" s="5"/>
      <c r="H36" s="6"/>
      <c r="K36" s="5">
        <v>27</v>
      </c>
      <c r="L36" s="27">
        <v>3.2</v>
      </c>
      <c r="M36" s="6"/>
      <c r="Q36" s="65">
        <v>27</v>
      </c>
      <c r="R36" s="66">
        <v>5.9200000000000008</v>
      </c>
      <c r="T36" s="65">
        <v>27</v>
      </c>
      <c r="U36" s="66">
        <v>5.9200000000000008</v>
      </c>
    </row>
    <row r="37" spans="1:21" ht="15.75" x14ac:dyDescent="0.25">
      <c r="A37" s="5">
        <v>28</v>
      </c>
      <c r="B37" s="27">
        <v>3.27</v>
      </c>
      <c r="C37" s="6"/>
      <c r="D37" s="5"/>
      <c r="E37" s="6"/>
      <c r="F37" s="6"/>
      <c r="G37" s="5"/>
      <c r="H37" s="6"/>
      <c r="K37" s="5">
        <v>28</v>
      </c>
      <c r="L37" s="27">
        <v>3.27</v>
      </c>
      <c r="M37" s="6"/>
      <c r="Q37" s="65">
        <v>28</v>
      </c>
      <c r="R37" s="66">
        <v>6.0495000000000001</v>
      </c>
      <c r="T37" s="65">
        <v>28</v>
      </c>
      <c r="U37" s="66">
        <v>6.0495000000000001</v>
      </c>
    </row>
    <row r="38" spans="1:21" ht="15.75" x14ac:dyDescent="0.25">
      <c r="A38" s="5">
        <v>29</v>
      </c>
      <c r="B38" s="27">
        <v>3.33</v>
      </c>
      <c r="C38" s="6"/>
      <c r="D38" s="5"/>
      <c r="E38" s="6"/>
      <c r="F38" s="6"/>
      <c r="G38" s="5"/>
      <c r="H38" s="6"/>
      <c r="K38" s="5">
        <v>29</v>
      </c>
      <c r="L38" s="27">
        <v>3.33</v>
      </c>
      <c r="M38" s="6"/>
      <c r="Q38" s="65">
        <v>29</v>
      </c>
      <c r="R38" s="66">
        <v>6.1605000000000008</v>
      </c>
      <c r="T38" s="65">
        <v>29</v>
      </c>
      <c r="U38" s="66">
        <v>6.1605000000000008</v>
      </c>
    </row>
    <row r="39" spans="1:21" ht="15.75" x14ac:dyDescent="0.25">
      <c r="A39" s="5">
        <v>30</v>
      </c>
      <c r="B39" s="27">
        <v>3.4</v>
      </c>
      <c r="C39" s="6"/>
      <c r="D39" s="5"/>
      <c r="E39" s="6"/>
      <c r="F39" s="6"/>
      <c r="G39" s="5"/>
      <c r="H39" s="6"/>
      <c r="K39" s="5">
        <v>30</v>
      </c>
      <c r="L39" s="27">
        <v>3.4</v>
      </c>
      <c r="M39" s="6"/>
      <c r="Q39" s="65">
        <v>30</v>
      </c>
      <c r="R39" s="66">
        <v>6.29</v>
      </c>
      <c r="T39" s="65">
        <v>30</v>
      </c>
      <c r="U39" s="66">
        <v>6.29</v>
      </c>
    </row>
    <row r="40" spans="1:21" ht="15.75" x14ac:dyDescent="0.25">
      <c r="A40" s="5">
        <v>31</v>
      </c>
      <c r="B40" s="27">
        <v>3.47</v>
      </c>
      <c r="C40" s="6"/>
      <c r="D40" s="5"/>
      <c r="E40" s="6"/>
      <c r="F40" s="6"/>
      <c r="G40" s="5"/>
      <c r="H40" s="6"/>
      <c r="K40" s="5">
        <v>31</v>
      </c>
      <c r="L40" s="27">
        <v>3.47</v>
      </c>
      <c r="M40" s="6"/>
      <c r="Q40" s="65">
        <v>31</v>
      </c>
      <c r="R40" s="66">
        <v>6.4195000000000011</v>
      </c>
      <c r="T40" s="65">
        <v>31</v>
      </c>
      <c r="U40" s="66">
        <v>6.4195000000000011</v>
      </c>
    </row>
    <row r="41" spans="1:21" ht="15.75" x14ac:dyDescent="0.25">
      <c r="A41" s="5">
        <v>32</v>
      </c>
      <c r="B41" s="27">
        <v>3.53</v>
      </c>
      <c r="C41" s="6"/>
      <c r="D41" s="5"/>
      <c r="E41" s="6"/>
      <c r="F41" s="6"/>
      <c r="G41" s="5"/>
      <c r="H41" s="6"/>
      <c r="K41" s="5">
        <v>32</v>
      </c>
      <c r="L41" s="27">
        <v>3.53</v>
      </c>
      <c r="M41" s="6"/>
      <c r="Q41" s="65">
        <v>32</v>
      </c>
      <c r="R41" s="66">
        <v>6.5305</v>
      </c>
      <c r="T41" s="65">
        <v>32</v>
      </c>
      <c r="U41" s="66">
        <v>6.5305</v>
      </c>
    </row>
    <row r="42" spans="1:21" ht="15.75" x14ac:dyDescent="0.25">
      <c r="A42" s="5">
        <v>33</v>
      </c>
      <c r="B42" s="27">
        <v>3.6</v>
      </c>
      <c r="C42" s="6"/>
      <c r="D42" s="5"/>
      <c r="E42" s="6"/>
      <c r="F42" s="6"/>
      <c r="G42" s="5"/>
      <c r="H42" s="6"/>
      <c r="K42" s="5">
        <v>33</v>
      </c>
      <c r="L42" s="27">
        <v>3.6</v>
      </c>
      <c r="M42" s="6"/>
      <c r="Q42" s="65">
        <v>33</v>
      </c>
      <c r="R42" s="66">
        <v>6.66</v>
      </c>
      <c r="T42" s="65">
        <v>33</v>
      </c>
      <c r="U42" s="66">
        <v>6.66</v>
      </c>
    </row>
    <row r="43" spans="1:21" ht="15.75" x14ac:dyDescent="0.25">
      <c r="A43" s="5">
        <v>34</v>
      </c>
      <c r="B43" s="27">
        <v>3.67</v>
      </c>
      <c r="C43" s="6"/>
      <c r="D43" s="5"/>
      <c r="E43" s="6"/>
      <c r="F43" s="6"/>
      <c r="G43" s="5"/>
      <c r="H43" s="6"/>
      <c r="K43" s="5">
        <v>34</v>
      </c>
      <c r="L43" s="27">
        <v>3.67</v>
      </c>
      <c r="M43" s="6"/>
      <c r="Q43" s="65">
        <v>34</v>
      </c>
      <c r="R43" s="66">
        <v>6.7895000000000003</v>
      </c>
      <c r="T43" s="65">
        <v>34</v>
      </c>
      <c r="U43" s="66">
        <v>6.7895000000000003</v>
      </c>
    </row>
    <row r="44" spans="1:21" ht="15.75" x14ac:dyDescent="0.25">
      <c r="A44" s="5">
        <v>35</v>
      </c>
      <c r="B44" s="27">
        <v>3.73</v>
      </c>
      <c r="C44" s="6"/>
      <c r="D44" s="5"/>
      <c r="E44" s="6"/>
      <c r="F44" s="6"/>
      <c r="G44" s="5"/>
      <c r="H44" s="6"/>
      <c r="K44" s="5">
        <v>35</v>
      </c>
      <c r="L44" s="27">
        <v>3.73</v>
      </c>
      <c r="M44" s="6"/>
      <c r="Q44" s="65">
        <v>35</v>
      </c>
      <c r="R44" s="66">
        <v>6.9005000000000001</v>
      </c>
      <c r="T44" s="65">
        <v>35</v>
      </c>
      <c r="U44" s="66">
        <v>6.9005000000000001</v>
      </c>
    </row>
    <row r="45" spans="1:21" ht="15.75" x14ac:dyDescent="0.25">
      <c r="A45" s="5">
        <v>36</v>
      </c>
      <c r="B45" s="27">
        <v>3.8</v>
      </c>
      <c r="C45" s="6"/>
      <c r="D45" s="5"/>
      <c r="E45" s="6"/>
      <c r="F45" s="6"/>
      <c r="G45" s="5"/>
      <c r="H45" s="6"/>
      <c r="K45" s="5">
        <v>36</v>
      </c>
      <c r="L45" s="27">
        <v>3.8</v>
      </c>
      <c r="M45" s="6"/>
      <c r="Q45" s="65">
        <v>36</v>
      </c>
      <c r="R45" s="66">
        <v>7.03</v>
      </c>
      <c r="T45" s="65">
        <v>36</v>
      </c>
      <c r="U45" s="66">
        <v>7.03</v>
      </c>
    </row>
    <row r="46" spans="1:21" ht="15.75" x14ac:dyDescent="0.25">
      <c r="A46" s="5">
        <v>37</v>
      </c>
      <c r="B46" s="27">
        <v>3.87</v>
      </c>
      <c r="C46" s="6"/>
      <c r="D46" s="5"/>
      <c r="E46" s="6"/>
      <c r="F46" s="6"/>
      <c r="G46" s="5"/>
      <c r="H46" s="6"/>
      <c r="K46" s="5">
        <v>37</v>
      </c>
      <c r="L46" s="27">
        <v>3.87</v>
      </c>
      <c r="M46" s="6"/>
      <c r="Q46" s="65">
        <v>37</v>
      </c>
      <c r="R46" s="66">
        <v>7.1595000000000004</v>
      </c>
      <c r="T46" s="65">
        <v>37</v>
      </c>
      <c r="U46" s="66">
        <v>7.1595000000000004</v>
      </c>
    </row>
    <row r="47" spans="1:21" ht="15.75" x14ac:dyDescent="0.25">
      <c r="A47" s="5">
        <v>38</v>
      </c>
      <c r="B47" s="27">
        <v>3.93</v>
      </c>
      <c r="C47" s="6"/>
      <c r="D47" s="5"/>
      <c r="E47" s="6"/>
      <c r="F47" s="6"/>
      <c r="G47" s="5"/>
      <c r="H47" s="6"/>
      <c r="K47" s="5">
        <v>38</v>
      </c>
      <c r="L47" s="27">
        <v>3.93</v>
      </c>
      <c r="M47" s="6"/>
      <c r="Q47" s="65">
        <v>38</v>
      </c>
      <c r="R47" s="66">
        <v>7.2705000000000011</v>
      </c>
      <c r="T47" s="65">
        <v>38</v>
      </c>
      <c r="U47" s="66">
        <v>7.2705000000000011</v>
      </c>
    </row>
    <row r="48" spans="1:21" ht="15.75" x14ac:dyDescent="0.25">
      <c r="A48" s="5">
        <v>39</v>
      </c>
      <c r="B48" s="27">
        <v>4</v>
      </c>
      <c r="C48" s="6"/>
      <c r="D48" s="5"/>
      <c r="E48" s="6"/>
      <c r="F48" s="6"/>
      <c r="G48" s="5"/>
      <c r="H48" s="6"/>
      <c r="K48" s="5">
        <v>39</v>
      </c>
      <c r="L48" s="27">
        <v>4</v>
      </c>
      <c r="M48" s="6"/>
      <c r="Q48" s="65">
        <v>39</v>
      </c>
      <c r="R48" s="66">
        <v>7.4</v>
      </c>
      <c r="T48" s="65">
        <v>39</v>
      </c>
      <c r="U48" s="66">
        <v>7.4</v>
      </c>
    </row>
    <row r="49" spans="1:21" ht="15.75" x14ac:dyDescent="0.25">
      <c r="A49" s="5">
        <v>40</v>
      </c>
      <c r="B49" s="27">
        <v>4.0599999999999996</v>
      </c>
      <c r="C49" s="6"/>
      <c r="D49" s="5"/>
      <c r="E49" s="6"/>
      <c r="F49" s="6"/>
      <c r="G49" s="5"/>
      <c r="H49" s="6"/>
      <c r="K49" s="5">
        <v>40</v>
      </c>
      <c r="L49" s="27">
        <v>4.0599999999999996</v>
      </c>
      <c r="M49" s="6"/>
      <c r="Q49" s="65">
        <v>40</v>
      </c>
      <c r="R49" s="66">
        <v>7.5109999999999992</v>
      </c>
      <c r="T49" s="65">
        <v>40</v>
      </c>
      <c r="U49" s="66">
        <v>7.5109999999999992</v>
      </c>
    </row>
    <row r="50" spans="1:21" ht="15.75" x14ac:dyDescent="0.25">
      <c r="A50" s="5">
        <v>41</v>
      </c>
      <c r="B50" s="27">
        <v>4.13</v>
      </c>
      <c r="K50" s="7">
        <v>41</v>
      </c>
      <c r="L50" s="27">
        <v>4.13</v>
      </c>
      <c r="M50" s="6"/>
      <c r="Q50" s="65">
        <v>41</v>
      </c>
      <c r="R50" s="66">
        <v>7.6405000000000003</v>
      </c>
      <c r="T50" s="65">
        <v>41</v>
      </c>
      <c r="U50" s="66">
        <v>7.6405000000000003</v>
      </c>
    </row>
    <row r="51" spans="1:21" ht="15.75" x14ac:dyDescent="0.25">
      <c r="A51" s="5">
        <v>42</v>
      </c>
      <c r="B51" s="27">
        <v>4.2</v>
      </c>
      <c r="K51" s="7">
        <v>42</v>
      </c>
      <c r="L51" s="27">
        <v>4.2</v>
      </c>
      <c r="M51" s="6"/>
      <c r="Q51" s="65">
        <v>42</v>
      </c>
      <c r="R51" s="66">
        <v>7.7700000000000005</v>
      </c>
      <c r="T51" s="65">
        <v>42</v>
      </c>
      <c r="U51" s="66">
        <v>7.7700000000000005</v>
      </c>
    </row>
    <row r="52" spans="1:21" ht="15.75" x14ac:dyDescent="0.25">
      <c r="A52" s="5">
        <v>43</v>
      </c>
      <c r="B52" s="27">
        <v>4.2699999999999996</v>
      </c>
      <c r="K52" s="7">
        <v>43</v>
      </c>
      <c r="L52" s="27">
        <v>4.2699999999999996</v>
      </c>
      <c r="M52" s="6"/>
      <c r="Q52" s="65">
        <v>43</v>
      </c>
      <c r="R52" s="66">
        <v>7.8994999999999997</v>
      </c>
      <c r="T52" s="65">
        <v>43</v>
      </c>
      <c r="U52" s="66">
        <v>7.8994999999999997</v>
      </c>
    </row>
    <row r="53" spans="1:21" ht="15.75" x14ac:dyDescent="0.25">
      <c r="A53" s="5">
        <v>44</v>
      </c>
      <c r="B53" s="27">
        <v>4.33</v>
      </c>
      <c r="K53" s="7">
        <v>44</v>
      </c>
      <c r="L53" s="27">
        <v>4.33</v>
      </c>
      <c r="M53" s="6"/>
      <c r="Q53" s="65">
        <v>44</v>
      </c>
      <c r="R53" s="66">
        <v>8.0105000000000004</v>
      </c>
      <c r="T53" s="65">
        <v>44</v>
      </c>
      <c r="U53" s="66">
        <v>8.0105000000000004</v>
      </c>
    </row>
    <row r="54" spans="1:21" ht="15.75" x14ac:dyDescent="0.25">
      <c r="A54" s="5">
        <v>45</v>
      </c>
      <c r="B54" s="27">
        <v>4.4000000000000004</v>
      </c>
      <c r="K54" s="7">
        <v>45</v>
      </c>
      <c r="L54" s="27">
        <v>4.4000000000000004</v>
      </c>
      <c r="M54" s="6"/>
      <c r="Q54" s="65">
        <v>45</v>
      </c>
      <c r="R54" s="66">
        <v>8.14</v>
      </c>
      <c r="T54" s="65">
        <v>45</v>
      </c>
      <c r="U54" s="66">
        <v>8.14</v>
      </c>
    </row>
    <row r="55" spans="1:21" ht="15.75" x14ac:dyDescent="0.25">
      <c r="A55" s="5">
        <v>46</v>
      </c>
      <c r="B55" s="27">
        <v>4.46</v>
      </c>
      <c r="K55" s="7">
        <v>46</v>
      </c>
      <c r="L55" s="27">
        <v>4.46</v>
      </c>
      <c r="M55" s="6"/>
      <c r="Q55" s="65">
        <v>46</v>
      </c>
      <c r="R55" s="66">
        <v>8.2509999999999994</v>
      </c>
      <c r="T55" s="65">
        <v>46</v>
      </c>
      <c r="U55" s="66">
        <v>8.2509999999999994</v>
      </c>
    </row>
    <row r="56" spans="1:21" ht="15.75" x14ac:dyDescent="0.25">
      <c r="A56" s="5">
        <v>47</v>
      </c>
      <c r="B56" s="27">
        <v>4.53</v>
      </c>
      <c r="K56" s="7">
        <v>47</v>
      </c>
      <c r="L56" s="27">
        <v>4.53</v>
      </c>
      <c r="M56" s="6"/>
      <c r="Q56" s="65">
        <v>47</v>
      </c>
      <c r="R56" s="66">
        <v>8.3805000000000014</v>
      </c>
      <c r="T56" s="65">
        <v>47</v>
      </c>
      <c r="U56" s="66">
        <v>8.3805000000000014</v>
      </c>
    </row>
    <row r="57" spans="1:21" ht="15.75" x14ac:dyDescent="0.25">
      <c r="A57" s="5">
        <v>48</v>
      </c>
      <c r="B57" s="27">
        <v>4.5999999999999996</v>
      </c>
      <c r="K57" s="7">
        <v>48</v>
      </c>
      <c r="L57" s="27">
        <v>4.5999999999999996</v>
      </c>
      <c r="M57" s="6"/>
      <c r="Q57" s="65">
        <v>48</v>
      </c>
      <c r="R57" s="66">
        <v>8.51</v>
      </c>
      <c r="T57" s="65">
        <v>48</v>
      </c>
      <c r="U57" s="66">
        <v>8.51</v>
      </c>
    </row>
    <row r="58" spans="1:21" ht="15.75" x14ac:dyDescent="0.25">
      <c r="A58" s="5">
        <v>49</v>
      </c>
      <c r="B58" s="27">
        <v>4.67</v>
      </c>
      <c r="K58" s="7">
        <v>49</v>
      </c>
      <c r="L58" s="27">
        <v>4.67</v>
      </c>
      <c r="M58" s="6"/>
      <c r="Q58" s="65">
        <v>49</v>
      </c>
      <c r="R58" s="66">
        <v>8.6395</v>
      </c>
      <c r="T58" s="65">
        <v>49</v>
      </c>
      <c r="U58" s="66">
        <v>8.6395</v>
      </c>
    </row>
    <row r="59" spans="1:21" ht="15.75" x14ac:dyDescent="0.25">
      <c r="A59" s="5">
        <v>50</v>
      </c>
      <c r="B59" s="27">
        <v>4.7300000000000004</v>
      </c>
      <c r="K59" s="7">
        <v>50</v>
      </c>
      <c r="L59" s="27">
        <v>4.7300000000000004</v>
      </c>
      <c r="M59" s="6"/>
      <c r="Q59" s="65">
        <v>50</v>
      </c>
      <c r="R59" s="66">
        <v>8.7505000000000006</v>
      </c>
      <c r="T59" s="65">
        <v>50</v>
      </c>
      <c r="U59" s="66">
        <v>8.7505000000000006</v>
      </c>
    </row>
    <row r="60" spans="1:21" ht="15.75" x14ac:dyDescent="0.25">
      <c r="A60" s="5">
        <v>51</v>
      </c>
      <c r="B60" s="27">
        <v>4.8</v>
      </c>
      <c r="K60" s="7">
        <v>51</v>
      </c>
      <c r="L60" s="27">
        <v>4.8</v>
      </c>
      <c r="M60" s="6"/>
      <c r="Q60" s="65">
        <v>51</v>
      </c>
      <c r="R60" s="66">
        <v>8.8800000000000008</v>
      </c>
      <c r="T60" s="65">
        <v>51</v>
      </c>
      <c r="U60" s="66">
        <v>8.8800000000000008</v>
      </c>
    </row>
    <row r="61" spans="1:21" ht="15.75" x14ac:dyDescent="0.25">
      <c r="A61" s="5">
        <v>52</v>
      </c>
      <c r="B61" s="27">
        <v>4.8600000000000003</v>
      </c>
      <c r="K61" s="7">
        <v>52</v>
      </c>
      <c r="L61" s="27">
        <v>4.8600000000000003</v>
      </c>
      <c r="M61" s="6"/>
      <c r="Q61" s="65">
        <v>52</v>
      </c>
      <c r="R61" s="66">
        <v>8.9910000000000014</v>
      </c>
      <c r="T61" s="65">
        <v>52</v>
      </c>
      <c r="U61" s="66">
        <v>8.9910000000000014</v>
      </c>
    </row>
    <row r="62" spans="1:21" ht="15.75" x14ac:dyDescent="0.25">
      <c r="A62" s="5">
        <v>53</v>
      </c>
      <c r="B62" s="27">
        <v>4.93</v>
      </c>
      <c r="K62" s="7">
        <v>53</v>
      </c>
      <c r="L62" s="27">
        <v>4.93</v>
      </c>
      <c r="M62" s="6"/>
      <c r="Q62" s="65">
        <v>53</v>
      </c>
      <c r="R62" s="66">
        <v>9.1204999999999998</v>
      </c>
      <c r="T62" s="65">
        <v>53</v>
      </c>
      <c r="U62" s="66">
        <v>9.1204999999999998</v>
      </c>
    </row>
    <row r="63" spans="1:21" ht="15.75" x14ac:dyDescent="0.25">
      <c r="A63" s="5">
        <v>54</v>
      </c>
      <c r="B63" s="27">
        <v>5</v>
      </c>
      <c r="K63" s="7">
        <v>54</v>
      </c>
      <c r="L63" s="27">
        <v>5</v>
      </c>
      <c r="M63" s="6"/>
      <c r="Q63" s="65">
        <v>54</v>
      </c>
      <c r="R63" s="66">
        <v>9.25</v>
      </c>
      <c r="T63" s="65">
        <v>54</v>
      </c>
      <c r="U63" s="66">
        <v>9.25</v>
      </c>
    </row>
    <row r="64" spans="1:21" ht="15.75" x14ac:dyDescent="0.25">
      <c r="A64" s="5">
        <v>55</v>
      </c>
      <c r="B64" s="27">
        <v>5.07</v>
      </c>
      <c r="K64" s="7">
        <v>55</v>
      </c>
      <c r="L64" s="27">
        <v>5.07</v>
      </c>
      <c r="M64" s="6"/>
      <c r="Q64" s="65">
        <v>55</v>
      </c>
      <c r="R64" s="66">
        <v>9.3795000000000002</v>
      </c>
      <c r="T64" s="65">
        <v>55</v>
      </c>
      <c r="U64" s="66">
        <v>9.3795000000000002</v>
      </c>
    </row>
    <row r="65" spans="1:21" ht="15.75" x14ac:dyDescent="0.25">
      <c r="A65" s="5">
        <v>56</v>
      </c>
      <c r="B65" s="27">
        <v>5.13</v>
      </c>
      <c r="K65" s="7">
        <v>56</v>
      </c>
      <c r="L65" s="27">
        <v>5.13</v>
      </c>
      <c r="M65" s="6"/>
      <c r="Q65" s="65">
        <v>56</v>
      </c>
      <c r="R65" s="66">
        <v>9.4905000000000008</v>
      </c>
      <c r="T65" s="65">
        <v>56</v>
      </c>
      <c r="U65" s="66">
        <v>9.4905000000000008</v>
      </c>
    </row>
    <row r="66" spans="1:21" ht="15.75" x14ac:dyDescent="0.25">
      <c r="A66" s="5">
        <v>57</v>
      </c>
      <c r="B66" s="27">
        <v>5.2</v>
      </c>
      <c r="K66" s="7">
        <v>57</v>
      </c>
      <c r="L66" s="27">
        <v>5.2</v>
      </c>
      <c r="M66" s="6"/>
      <c r="Q66" s="65">
        <v>57</v>
      </c>
      <c r="R66" s="66">
        <v>9.620000000000001</v>
      </c>
      <c r="T66" s="65">
        <v>57</v>
      </c>
      <c r="U66" s="66">
        <v>9.620000000000001</v>
      </c>
    </row>
    <row r="67" spans="1:21" ht="15.75" x14ac:dyDescent="0.25">
      <c r="A67" s="5">
        <v>58</v>
      </c>
      <c r="B67" s="27">
        <v>5.26</v>
      </c>
      <c r="K67" s="7">
        <v>58</v>
      </c>
      <c r="L67" s="27">
        <v>5.26</v>
      </c>
      <c r="M67" s="6"/>
      <c r="Q67" s="65">
        <v>58</v>
      </c>
      <c r="R67" s="66">
        <v>9.7309999999999999</v>
      </c>
      <c r="T67" s="65">
        <v>58</v>
      </c>
      <c r="U67" s="66">
        <v>9.7309999999999999</v>
      </c>
    </row>
    <row r="68" spans="1:21" ht="15.75" x14ac:dyDescent="0.25">
      <c r="A68" s="5">
        <v>59</v>
      </c>
      <c r="B68" s="27">
        <v>5.33</v>
      </c>
      <c r="K68" s="7">
        <v>59</v>
      </c>
      <c r="L68" s="27">
        <v>5.33</v>
      </c>
      <c r="M68" s="6"/>
      <c r="Q68" s="65">
        <v>59</v>
      </c>
      <c r="R68" s="66">
        <v>9.8605</v>
      </c>
      <c r="T68" s="65">
        <v>59</v>
      </c>
      <c r="U68" s="66">
        <v>9.8605</v>
      </c>
    </row>
    <row r="69" spans="1:21" ht="15.75" x14ac:dyDescent="0.25">
      <c r="A69" s="5">
        <v>60</v>
      </c>
      <c r="B69" s="27">
        <v>5.4</v>
      </c>
      <c r="K69" s="7">
        <v>60</v>
      </c>
      <c r="L69" s="27">
        <v>5.4</v>
      </c>
      <c r="M69" s="6"/>
      <c r="Q69" s="65">
        <v>60</v>
      </c>
      <c r="R69" s="66">
        <v>9.990000000000002</v>
      </c>
      <c r="T69" s="65">
        <v>60</v>
      </c>
      <c r="U69" s="66">
        <v>9.990000000000002</v>
      </c>
    </row>
    <row r="70" spans="1:21" ht="15.75" x14ac:dyDescent="0.25">
      <c r="A70" s="5">
        <v>61</v>
      </c>
      <c r="B70" s="27">
        <v>5.47</v>
      </c>
      <c r="K70" s="7">
        <v>61</v>
      </c>
      <c r="L70" s="27">
        <v>5.47</v>
      </c>
      <c r="M70" s="6"/>
      <c r="Q70" s="65">
        <v>61</v>
      </c>
      <c r="R70" s="66">
        <v>10.1195</v>
      </c>
      <c r="T70" s="65">
        <v>61</v>
      </c>
      <c r="U70" s="66">
        <v>10.1195</v>
      </c>
    </row>
    <row r="71" spans="1:21" ht="15.75" x14ac:dyDescent="0.25">
      <c r="A71" s="5">
        <v>62</v>
      </c>
      <c r="B71" s="27">
        <v>5.53</v>
      </c>
      <c r="K71" s="7">
        <v>62</v>
      </c>
      <c r="L71" s="27">
        <v>5.53</v>
      </c>
      <c r="M71" s="6"/>
      <c r="Q71" s="65">
        <v>62</v>
      </c>
      <c r="R71" s="66">
        <v>10.230500000000001</v>
      </c>
      <c r="T71" s="65">
        <v>62</v>
      </c>
      <c r="U71" s="66">
        <v>10.230500000000001</v>
      </c>
    </row>
    <row r="72" spans="1:21" ht="15.75" x14ac:dyDescent="0.25">
      <c r="A72" s="5">
        <v>63</v>
      </c>
      <c r="B72" s="27">
        <v>5.6</v>
      </c>
      <c r="K72" s="7">
        <v>63</v>
      </c>
      <c r="L72" s="27">
        <v>5.6</v>
      </c>
      <c r="M72" s="6"/>
      <c r="Q72" s="65">
        <v>63</v>
      </c>
      <c r="R72" s="66">
        <v>10.36</v>
      </c>
      <c r="T72" s="65">
        <v>63</v>
      </c>
      <c r="U72" s="66">
        <v>10.36</v>
      </c>
    </row>
    <row r="73" spans="1:21" ht="15.75" x14ac:dyDescent="0.25">
      <c r="A73" s="5">
        <v>64</v>
      </c>
      <c r="B73" s="27">
        <v>5.67</v>
      </c>
      <c r="K73" s="7">
        <v>64</v>
      </c>
      <c r="L73" s="27">
        <v>5.67</v>
      </c>
      <c r="M73" s="6"/>
      <c r="Q73" s="65">
        <v>64</v>
      </c>
      <c r="R73" s="66">
        <v>10.4895</v>
      </c>
      <c r="T73" s="65">
        <v>64</v>
      </c>
      <c r="U73" s="66">
        <v>10.4895</v>
      </c>
    </row>
    <row r="74" spans="1:21" ht="15.75" x14ac:dyDescent="0.25">
      <c r="A74" s="5">
        <v>65</v>
      </c>
      <c r="B74" s="27">
        <v>5.73</v>
      </c>
      <c r="K74" s="7">
        <v>65</v>
      </c>
      <c r="L74" s="27">
        <v>5.73</v>
      </c>
      <c r="M74" s="6"/>
      <c r="Q74" s="65">
        <v>65</v>
      </c>
      <c r="R74" s="66">
        <v>10.600500000000002</v>
      </c>
      <c r="T74" s="65">
        <v>65</v>
      </c>
      <c r="U74" s="66">
        <v>10.600500000000002</v>
      </c>
    </row>
    <row r="75" spans="1:21" ht="15.75" x14ac:dyDescent="0.25">
      <c r="A75" s="5">
        <v>66</v>
      </c>
      <c r="B75" s="27">
        <v>5.8</v>
      </c>
      <c r="K75" s="7">
        <v>66</v>
      </c>
      <c r="L75" s="27">
        <v>5.8</v>
      </c>
      <c r="M75" s="6"/>
      <c r="Q75" s="65">
        <v>66</v>
      </c>
      <c r="R75" s="66">
        <v>10.73</v>
      </c>
      <c r="T75" s="65">
        <v>66</v>
      </c>
      <c r="U75" s="66">
        <v>10.73</v>
      </c>
    </row>
    <row r="76" spans="1:21" ht="15.75" x14ac:dyDescent="0.25">
      <c r="A76" s="5">
        <v>67</v>
      </c>
      <c r="B76" s="27">
        <v>5.87</v>
      </c>
      <c r="K76" s="7">
        <v>67</v>
      </c>
      <c r="L76" s="27">
        <v>5.87</v>
      </c>
      <c r="M76" s="6"/>
      <c r="Q76" s="65">
        <v>67</v>
      </c>
      <c r="R76" s="66">
        <v>10.859500000000001</v>
      </c>
      <c r="T76" s="65">
        <v>67</v>
      </c>
      <c r="U76" s="66">
        <v>10.859500000000001</v>
      </c>
    </row>
    <row r="77" spans="1:21" ht="15.75" x14ac:dyDescent="0.25">
      <c r="A77" s="5">
        <v>68</v>
      </c>
      <c r="B77" s="27">
        <v>5.93</v>
      </c>
      <c r="K77" s="7">
        <v>68</v>
      </c>
      <c r="L77" s="27">
        <v>5.93</v>
      </c>
      <c r="M77" s="6"/>
      <c r="Q77" s="65">
        <v>68</v>
      </c>
      <c r="R77" s="66">
        <v>10.970499999999999</v>
      </c>
      <c r="T77" s="65">
        <v>68</v>
      </c>
      <c r="U77" s="66">
        <v>10.970499999999999</v>
      </c>
    </row>
    <row r="78" spans="1:21" ht="15.75" x14ac:dyDescent="0.25">
      <c r="A78" s="5">
        <v>69</v>
      </c>
      <c r="B78" s="27">
        <v>6</v>
      </c>
      <c r="K78" s="7">
        <v>69</v>
      </c>
      <c r="L78" s="27">
        <v>6</v>
      </c>
      <c r="M78" s="6"/>
      <c r="Q78" s="65">
        <v>69</v>
      </c>
      <c r="R78" s="66">
        <v>11.100000000000001</v>
      </c>
      <c r="T78" s="65">
        <v>69</v>
      </c>
      <c r="U78" s="66">
        <v>11.100000000000001</v>
      </c>
    </row>
    <row r="79" spans="1:21" ht="15.75" x14ac:dyDescent="0.25">
      <c r="A79" s="5">
        <v>70</v>
      </c>
      <c r="B79" s="27">
        <v>6.07</v>
      </c>
      <c r="K79" s="7">
        <v>70</v>
      </c>
      <c r="L79" s="27">
        <v>6.07</v>
      </c>
      <c r="M79" s="6"/>
      <c r="Q79" s="65">
        <v>70</v>
      </c>
      <c r="R79" s="66">
        <v>11.229500000000002</v>
      </c>
      <c r="T79" s="65">
        <v>70</v>
      </c>
      <c r="U79" s="66">
        <v>11.229500000000002</v>
      </c>
    </row>
    <row r="80" spans="1:21" ht="15.75" x14ac:dyDescent="0.25">
      <c r="A80" s="5">
        <v>71</v>
      </c>
      <c r="B80" s="27">
        <v>6.13</v>
      </c>
      <c r="K80" s="7">
        <v>71</v>
      </c>
      <c r="L80" s="27">
        <v>6.13</v>
      </c>
      <c r="M80" s="6"/>
      <c r="Q80" s="65">
        <v>71</v>
      </c>
      <c r="R80" s="66">
        <v>11.3405</v>
      </c>
      <c r="T80" s="65">
        <v>71</v>
      </c>
      <c r="U80" s="66">
        <v>11.3405</v>
      </c>
    </row>
    <row r="81" spans="1:21" ht="15.75" x14ac:dyDescent="0.25">
      <c r="A81" s="5">
        <v>72</v>
      </c>
      <c r="B81" s="27">
        <v>6.2</v>
      </c>
      <c r="K81" s="7">
        <v>72</v>
      </c>
      <c r="L81" s="27">
        <v>6.2</v>
      </c>
      <c r="M81" s="6"/>
      <c r="Q81" s="65">
        <v>72</v>
      </c>
      <c r="R81" s="66">
        <v>11.47</v>
      </c>
      <c r="T81" s="65">
        <v>72</v>
      </c>
      <c r="U81" s="66">
        <v>11.47</v>
      </c>
    </row>
    <row r="82" spans="1:21" ht="15.75" x14ac:dyDescent="0.25">
      <c r="A82" s="5">
        <v>73</v>
      </c>
      <c r="B82" s="27">
        <v>6.27</v>
      </c>
      <c r="K82" s="7">
        <v>73</v>
      </c>
      <c r="L82" s="27">
        <v>6.27</v>
      </c>
      <c r="M82" s="6"/>
      <c r="Q82" s="65">
        <v>73</v>
      </c>
      <c r="R82" s="66">
        <v>11.599499999999999</v>
      </c>
      <c r="T82" s="65">
        <v>73</v>
      </c>
      <c r="U82" s="66">
        <v>11.599499999999999</v>
      </c>
    </row>
    <row r="83" spans="1:21" ht="15.75" x14ac:dyDescent="0.25">
      <c r="A83" s="5">
        <v>74</v>
      </c>
      <c r="B83" s="27">
        <v>6.33</v>
      </c>
      <c r="K83" s="7">
        <v>74</v>
      </c>
      <c r="L83" s="27">
        <v>6.33</v>
      </c>
      <c r="M83" s="6"/>
      <c r="Q83" s="65">
        <v>74</v>
      </c>
      <c r="R83" s="66">
        <v>11.710500000000001</v>
      </c>
      <c r="T83" s="65">
        <v>74</v>
      </c>
      <c r="U83" s="66">
        <v>11.710500000000001</v>
      </c>
    </row>
    <row r="84" spans="1:21" ht="15.75" x14ac:dyDescent="0.25">
      <c r="A84" s="5">
        <v>75</v>
      </c>
      <c r="B84" s="27">
        <v>6.4</v>
      </c>
      <c r="K84" s="7">
        <v>75</v>
      </c>
      <c r="L84" s="27">
        <v>6.4</v>
      </c>
      <c r="M84" s="6"/>
      <c r="Q84" s="65">
        <v>75</v>
      </c>
      <c r="R84" s="66">
        <v>11.840000000000002</v>
      </c>
      <c r="T84" s="65">
        <v>75</v>
      </c>
      <c r="U84" s="66">
        <v>11.840000000000002</v>
      </c>
    </row>
    <row r="85" spans="1:21" ht="15.75" x14ac:dyDescent="0.25">
      <c r="A85" s="5">
        <v>76</v>
      </c>
      <c r="B85" s="27">
        <v>6.47</v>
      </c>
      <c r="K85" s="7">
        <v>76</v>
      </c>
      <c r="L85" s="27">
        <v>6.47</v>
      </c>
      <c r="M85" s="6"/>
      <c r="Q85" s="65">
        <v>76</v>
      </c>
      <c r="R85" s="66">
        <v>11.9695</v>
      </c>
      <c r="T85" s="65">
        <v>76</v>
      </c>
      <c r="U85" s="66">
        <v>11.9695</v>
      </c>
    </row>
    <row r="86" spans="1:21" ht="15.75" x14ac:dyDescent="0.25">
      <c r="A86" s="5">
        <v>77</v>
      </c>
      <c r="B86" s="27">
        <v>6.53</v>
      </c>
      <c r="K86" s="7">
        <v>77</v>
      </c>
      <c r="L86" s="27">
        <v>6.53</v>
      </c>
      <c r="M86" s="6"/>
      <c r="Q86" s="65">
        <v>77</v>
      </c>
      <c r="R86" s="66">
        <v>12.080500000000001</v>
      </c>
      <c r="T86" s="65">
        <v>77</v>
      </c>
      <c r="U86" s="66">
        <v>12.080500000000001</v>
      </c>
    </row>
    <row r="87" spans="1:21" ht="15.75" x14ac:dyDescent="0.25">
      <c r="A87" s="5">
        <v>78</v>
      </c>
      <c r="B87" s="27">
        <v>6.6</v>
      </c>
      <c r="K87" s="7">
        <v>78</v>
      </c>
      <c r="L87" s="27">
        <v>6.6</v>
      </c>
      <c r="M87" s="6"/>
      <c r="Q87" s="65">
        <v>78</v>
      </c>
      <c r="R87" s="66">
        <v>12.209999999999999</v>
      </c>
      <c r="T87" s="65">
        <v>78</v>
      </c>
      <c r="U87" s="66">
        <v>12.209999999999999</v>
      </c>
    </row>
    <row r="88" spans="1:21" ht="15.75" x14ac:dyDescent="0.25">
      <c r="A88" s="5">
        <v>79</v>
      </c>
      <c r="B88" s="27">
        <v>6.67</v>
      </c>
      <c r="K88" s="7">
        <v>79</v>
      </c>
      <c r="L88" s="27">
        <v>6.67</v>
      </c>
      <c r="M88" s="6"/>
      <c r="Q88" s="65">
        <v>79</v>
      </c>
      <c r="R88" s="66">
        <v>12.339500000000001</v>
      </c>
      <c r="T88" s="65">
        <v>79</v>
      </c>
      <c r="U88" s="66">
        <v>12.339500000000001</v>
      </c>
    </row>
    <row r="89" spans="1:21" ht="15.75" x14ac:dyDescent="0.25">
      <c r="A89" s="5">
        <v>80</v>
      </c>
      <c r="B89" s="27">
        <v>6.73</v>
      </c>
      <c r="K89" s="7">
        <v>80</v>
      </c>
      <c r="L89" s="27">
        <v>6.73</v>
      </c>
      <c r="Q89" s="65">
        <v>80</v>
      </c>
      <c r="R89" s="66">
        <v>12.450500000000002</v>
      </c>
      <c r="T89" s="65">
        <v>80</v>
      </c>
      <c r="U89" s="66">
        <v>12.450500000000002</v>
      </c>
    </row>
    <row r="90" spans="1:21" ht="15.75" x14ac:dyDescent="0.25">
      <c r="A90" s="5">
        <v>81</v>
      </c>
      <c r="B90" s="27">
        <v>6.8</v>
      </c>
      <c r="K90" s="7">
        <v>81</v>
      </c>
      <c r="L90" s="27">
        <v>6.8</v>
      </c>
      <c r="Q90" s="65">
        <v>81</v>
      </c>
      <c r="R90" s="66">
        <v>12.58</v>
      </c>
      <c r="T90" s="65">
        <v>81</v>
      </c>
      <c r="U90" s="66">
        <v>12.58</v>
      </c>
    </row>
    <row r="91" spans="1:21" ht="15.75" x14ac:dyDescent="0.25">
      <c r="A91" s="5">
        <v>82</v>
      </c>
      <c r="B91" s="27">
        <v>6.87</v>
      </c>
      <c r="K91" s="7">
        <v>82</v>
      </c>
      <c r="L91" s="27">
        <v>6.87</v>
      </c>
      <c r="Q91" s="65">
        <v>82</v>
      </c>
      <c r="R91" s="66">
        <v>12.7095</v>
      </c>
      <c r="T91" s="65">
        <v>82</v>
      </c>
      <c r="U91" s="66">
        <v>12.7095</v>
      </c>
    </row>
    <row r="92" spans="1:21" ht="15.75" x14ac:dyDescent="0.25">
      <c r="A92" s="5">
        <v>83</v>
      </c>
      <c r="B92" s="27">
        <v>6.93</v>
      </c>
      <c r="K92" s="7">
        <v>83</v>
      </c>
      <c r="L92" s="27">
        <v>6.93</v>
      </c>
      <c r="Q92" s="65">
        <v>83</v>
      </c>
      <c r="R92" s="66">
        <v>12.820500000000001</v>
      </c>
      <c r="T92" s="65">
        <v>83</v>
      </c>
      <c r="U92" s="66">
        <v>12.820500000000001</v>
      </c>
    </row>
    <row r="93" spans="1:21" ht="15.75" x14ac:dyDescent="0.25">
      <c r="A93" s="5">
        <v>84</v>
      </c>
      <c r="B93" s="27">
        <v>7</v>
      </c>
      <c r="K93" s="7">
        <v>84</v>
      </c>
      <c r="L93" s="27">
        <v>7</v>
      </c>
      <c r="Q93" s="65">
        <v>84</v>
      </c>
      <c r="R93" s="66">
        <v>12.950000000000001</v>
      </c>
      <c r="T93" s="65">
        <v>84</v>
      </c>
      <c r="U93" s="66">
        <v>12.950000000000001</v>
      </c>
    </row>
    <row r="94" spans="1:21" ht="15.75" x14ac:dyDescent="0.25">
      <c r="A94" s="5">
        <v>85</v>
      </c>
      <c r="B94" s="27">
        <v>7.07</v>
      </c>
      <c r="K94" s="7">
        <v>85</v>
      </c>
      <c r="L94" s="27">
        <v>7.07</v>
      </c>
      <c r="Q94" s="65">
        <v>85</v>
      </c>
      <c r="R94" s="66">
        <v>13.079500000000001</v>
      </c>
      <c r="T94" s="65">
        <v>85</v>
      </c>
      <c r="U94" s="66">
        <v>13.079500000000001</v>
      </c>
    </row>
    <row r="95" spans="1:21" ht="15.75" x14ac:dyDescent="0.25">
      <c r="A95" s="5">
        <v>86</v>
      </c>
      <c r="B95" s="27">
        <v>7.13</v>
      </c>
      <c r="K95" s="7">
        <v>86</v>
      </c>
      <c r="L95" s="27">
        <v>7.13</v>
      </c>
      <c r="Q95" s="65">
        <v>86</v>
      </c>
      <c r="R95" s="66">
        <v>13.1905</v>
      </c>
      <c r="T95" s="65">
        <v>86</v>
      </c>
      <c r="U95" s="66">
        <v>13.1905</v>
      </c>
    </row>
    <row r="96" spans="1:21" ht="15.75" x14ac:dyDescent="0.25">
      <c r="A96" s="5">
        <v>87</v>
      </c>
      <c r="B96" s="27">
        <v>7.2</v>
      </c>
      <c r="K96" s="7">
        <v>87</v>
      </c>
      <c r="L96" s="27">
        <v>7.2</v>
      </c>
      <c r="Q96" s="65">
        <v>87</v>
      </c>
      <c r="R96" s="66">
        <v>13.32</v>
      </c>
      <c r="T96" s="65">
        <v>87</v>
      </c>
      <c r="U96" s="66">
        <v>13.32</v>
      </c>
    </row>
    <row r="97" spans="1:21" ht="15.75" x14ac:dyDescent="0.25">
      <c r="A97" s="5">
        <v>88</v>
      </c>
      <c r="B97" s="27">
        <v>7.27</v>
      </c>
      <c r="K97" s="7">
        <v>88</v>
      </c>
      <c r="L97" s="27">
        <v>7.27</v>
      </c>
      <c r="Q97" s="65">
        <v>88</v>
      </c>
      <c r="R97" s="66">
        <v>13.4495</v>
      </c>
      <c r="T97" s="65">
        <v>88</v>
      </c>
      <c r="U97" s="66">
        <v>13.4495</v>
      </c>
    </row>
    <row r="98" spans="1:21" ht="15.75" x14ac:dyDescent="0.25">
      <c r="A98" s="5">
        <v>89</v>
      </c>
      <c r="B98" s="27">
        <v>7.33</v>
      </c>
      <c r="K98" s="7">
        <v>89</v>
      </c>
      <c r="L98" s="27">
        <v>7.33</v>
      </c>
      <c r="Q98" s="65">
        <v>89</v>
      </c>
      <c r="R98" s="66">
        <v>13.560500000000001</v>
      </c>
      <c r="T98" s="65">
        <v>89</v>
      </c>
      <c r="U98" s="66">
        <v>13.560500000000001</v>
      </c>
    </row>
    <row r="99" spans="1:21" ht="15.75" x14ac:dyDescent="0.25">
      <c r="A99" s="5">
        <v>90</v>
      </c>
      <c r="B99" s="27">
        <v>7.4</v>
      </c>
      <c r="K99" s="7">
        <v>90</v>
      </c>
      <c r="L99" s="27">
        <v>7.4</v>
      </c>
      <c r="Q99" s="65">
        <v>90</v>
      </c>
      <c r="R99" s="66">
        <v>13.690000000000001</v>
      </c>
      <c r="T99" s="65">
        <v>90</v>
      </c>
      <c r="U99" s="66">
        <v>13.690000000000001</v>
      </c>
    </row>
    <row r="100" spans="1:21" ht="15.75" x14ac:dyDescent="0.25">
      <c r="A100" s="5">
        <v>91</v>
      </c>
      <c r="B100" s="27">
        <v>7.47</v>
      </c>
      <c r="K100" s="7">
        <v>91</v>
      </c>
      <c r="L100" s="27">
        <v>7.47</v>
      </c>
      <c r="Q100" s="65">
        <v>91</v>
      </c>
      <c r="R100" s="66">
        <v>13.8195</v>
      </c>
      <c r="T100" s="65">
        <v>91</v>
      </c>
      <c r="U100" s="66">
        <v>13.8195</v>
      </c>
    </row>
    <row r="101" spans="1:21" ht="15.75" x14ac:dyDescent="0.25">
      <c r="A101" s="5">
        <v>92</v>
      </c>
      <c r="B101" s="27">
        <v>7.53</v>
      </c>
      <c r="K101" s="7">
        <v>92</v>
      </c>
      <c r="L101" s="27">
        <v>7.53</v>
      </c>
      <c r="Q101" s="65">
        <v>92</v>
      </c>
      <c r="R101" s="66">
        <v>13.9305</v>
      </c>
      <c r="T101" s="65">
        <v>92</v>
      </c>
      <c r="U101" s="66">
        <v>13.9305</v>
      </c>
    </row>
    <row r="102" spans="1:21" ht="15.75" x14ac:dyDescent="0.25">
      <c r="A102" s="5">
        <v>93</v>
      </c>
      <c r="B102" s="27">
        <v>7.6</v>
      </c>
      <c r="K102" s="7">
        <v>93</v>
      </c>
      <c r="L102" s="27">
        <v>7.6</v>
      </c>
      <c r="Q102" s="65">
        <v>93</v>
      </c>
      <c r="R102" s="66">
        <v>14.06</v>
      </c>
      <c r="T102" s="65">
        <v>93</v>
      </c>
      <c r="U102" s="66">
        <v>14.06</v>
      </c>
    </row>
    <row r="103" spans="1:21" ht="15.75" x14ac:dyDescent="0.25">
      <c r="A103" s="5">
        <v>94</v>
      </c>
      <c r="B103" s="27">
        <v>7.67</v>
      </c>
      <c r="K103" s="7">
        <v>94</v>
      </c>
      <c r="L103" s="27">
        <v>7.67</v>
      </c>
      <c r="Q103" s="65">
        <v>94</v>
      </c>
      <c r="R103" s="66">
        <v>14.189500000000001</v>
      </c>
      <c r="T103" s="65">
        <v>94</v>
      </c>
      <c r="U103" s="66">
        <v>14.189500000000001</v>
      </c>
    </row>
    <row r="104" spans="1:21" ht="15.75" x14ac:dyDescent="0.25">
      <c r="A104" s="5">
        <v>95</v>
      </c>
      <c r="B104" s="27">
        <v>7.73</v>
      </c>
      <c r="K104" s="7">
        <v>95</v>
      </c>
      <c r="L104" s="27">
        <v>7.73</v>
      </c>
      <c r="Q104" s="65">
        <v>95</v>
      </c>
      <c r="R104" s="66">
        <v>14.300500000000001</v>
      </c>
      <c r="T104" s="65">
        <v>95</v>
      </c>
      <c r="U104" s="66">
        <v>14.300500000000001</v>
      </c>
    </row>
    <row r="105" spans="1:21" ht="15.75" x14ac:dyDescent="0.25">
      <c r="A105" s="5">
        <v>96</v>
      </c>
      <c r="B105" s="27">
        <v>7.8</v>
      </c>
      <c r="K105" s="7">
        <v>96</v>
      </c>
      <c r="L105" s="27">
        <v>7.8</v>
      </c>
      <c r="Q105" s="65">
        <v>96</v>
      </c>
      <c r="R105" s="66">
        <v>14.43</v>
      </c>
      <c r="T105" s="65">
        <v>96</v>
      </c>
      <c r="U105" s="66">
        <v>14.43</v>
      </c>
    </row>
    <row r="106" spans="1:21" ht="15.75" x14ac:dyDescent="0.25">
      <c r="A106" s="5">
        <v>97</v>
      </c>
      <c r="B106" s="27">
        <v>7.87</v>
      </c>
      <c r="K106" s="7">
        <v>97</v>
      </c>
      <c r="L106" s="27">
        <v>7.87</v>
      </c>
      <c r="Q106" s="65">
        <v>97</v>
      </c>
      <c r="R106" s="66">
        <v>14.559500000000002</v>
      </c>
      <c r="T106" s="65">
        <v>97</v>
      </c>
      <c r="U106" s="66">
        <v>14.559500000000002</v>
      </c>
    </row>
    <row r="107" spans="1:21" ht="15.75" x14ac:dyDescent="0.25">
      <c r="A107" s="5">
        <v>98</v>
      </c>
      <c r="B107" s="27">
        <v>7.93</v>
      </c>
      <c r="K107" s="7">
        <v>98</v>
      </c>
      <c r="L107" s="27">
        <v>7.93</v>
      </c>
      <c r="Q107" s="65">
        <v>98</v>
      </c>
      <c r="R107" s="66">
        <v>14.670500000000001</v>
      </c>
      <c r="T107" s="65">
        <v>98</v>
      </c>
      <c r="U107" s="66">
        <v>14.670500000000001</v>
      </c>
    </row>
    <row r="108" spans="1:21" ht="15.75" x14ac:dyDescent="0.25">
      <c r="A108" s="5">
        <v>99</v>
      </c>
      <c r="B108" s="27">
        <v>8</v>
      </c>
      <c r="K108" s="7">
        <v>99</v>
      </c>
      <c r="L108" s="27">
        <v>8</v>
      </c>
      <c r="Q108" s="65">
        <v>99</v>
      </c>
      <c r="R108" s="66">
        <v>14.8</v>
      </c>
      <c r="T108" s="65">
        <v>99</v>
      </c>
      <c r="U108" s="66">
        <v>14.8</v>
      </c>
    </row>
    <row r="109" spans="1:21" ht="15.75" x14ac:dyDescent="0.25">
      <c r="A109" s="5">
        <v>100</v>
      </c>
      <c r="B109" s="27">
        <v>8.07</v>
      </c>
      <c r="K109" s="7">
        <v>100</v>
      </c>
      <c r="L109" s="27">
        <v>8.07</v>
      </c>
      <c r="Q109" s="65">
        <v>100</v>
      </c>
      <c r="R109" s="66">
        <v>14.929500000000001</v>
      </c>
      <c r="T109" s="65">
        <v>100</v>
      </c>
      <c r="U109" s="66">
        <v>14.929500000000001</v>
      </c>
    </row>
    <row r="110" spans="1:21" ht="15.75" x14ac:dyDescent="0.25">
      <c r="A110" s="5">
        <v>101</v>
      </c>
      <c r="B110" s="27">
        <v>8.1300000000000008</v>
      </c>
      <c r="K110" s="7">
        <v>101</v>
      </c>
      <c r="L110" s="27">
        <v>8.1300000000000008</v>
      </c>
      <c r="Q110" s="65">
        <v>101</v>
      </c>
      <c r="R110" s="66">
        <v>15.040500000000002</v>
      </c>
      <c r="T110" s="65">
        <v>101</v>
      </c>
      <c r="U110" s="66">
        <v>15.040500000000002</v>
      </c>
    </row>
    <row r="111" spans="1:21" ht="15.75" x14ac:dyDescent="0.25">
      <c r="A111" s="5">
        <v>102</v>
      </c>
      <c r="B111" s="27">
        <v>8.1999999999999993</v>
      </c>
      <c r="K111" s="7">
        <v>102</v>
      </c>
      <c r="L111" s="27">
        <v>8.1999999999999993</v>
      </c>
      <c r="Q111" s="65">
        <v>102</v>
      </c>
      <c r="R111" s="66">
        <v>15.17</v>
      </c>
      <c r="T111" s="65">
        <v>102</v>
      </c>
      <c r="U111" s="66">
        <v>15.17</v>
      </c>
    </row>
    <row r="112" spans="1:21" ht="15.75" x14ac:dyDescent="0.25">
      <c r="A112" s="5">
        <v>103</v>
      </c>
      <c r="B112" s="27">
        <v>8.27</v>
      </c>
      <c r="K112" s="7">
        <v>103</v>
      </c>
      <c r="L112" s="27">
        <v>8.27</v>
      </c>
      <c r="Q112" s="65">
        <v>103</v>
      </c>
      <c r="R112" s="66">
        <v>15.2995</v>
      </c>
      <c r="T112" s="65">
        <v>103</v>
      </c>
      <c r="U112" s="66">
        <v>15.2995</v>
      </c>
    </row>
    <row r="113" spans="1:21" ht="15.75" x14ac:dyDescent="0.25">
      <c r="A113" s="5">
        <v>104</v>
      </c>
      <c r="B113" s="27">
        <v>8.33</v>
      </c>
      <c r="K113" s="7">
        <v>104</v>
      </c>
      <c r="L113" s="27">
        <v>8.33</v>
      </c>
      <c r="Q113" s="65">
        <v>104</v>
      </c>
      <c r="R113" s="66">
        <v>15.410500000000001</v>
      </c>
      <c r="T113" s="65">
        <v>104</v>
      </c>
      <c r="U113" s="66">
        <v>15.410500000000001</v>
      </c>
    </row>
    <row r="114" spans="1:21" ht="15.75" x14ac:dyDescent="0.25">
      <c r="A114" s="5">
        <v>105</v>
      </c>
      <c r="B114" s="27">
        <v>8.4</v>
      </c>
      <c r="K114" s="7">
        <v>105</v>
      </c>
      <c r="L114" s="27">
        <v>8.4</v>
      </c>
      <c r="Q114" s="65">
        <v>105</v>
      </c>
      <c r="R114" s="66">
        <v>15.540000000000001</v>
      </c>
      <c r="T114" s="65">
        <v>105</v>
      </c>
      <c r="U114" s="66">
        <v>15.540000000000001</v>
      </c>
    </row>
    <row r="115" spans="1:21" ht="15.75" x14ac:dyDescent="0.25">
      <c r="A115" s="5">
        <v>106</v>
      </c>
      <c r="B115" s="27">
        <v>8.4700000000000006</v>
      </c>
      <c r="K115" s="7">
        <v>106</v>
      </c>
      <c r="L115" s="27">
        <v>8.4700000000000006</v>
      </c>
      <c r="Q115" s="65">
        <v>106</v>
      </c>
      <c r="R115" s="66">
        <v>15.669500000000001</v>
      </c>
      <c r="T115" s="65">
        <v>106</v>
      </c>
      <c r="U115" s="66">
        <v>15.669500000000001</v>
      </c>
    </row>
    <row r="116" spans="1:21" ht="15.75" x14ac:dyDescent="0.25">
      <c r="A116" s="5">
        <v>107</v>
      </c>
      <c r="B116" s="27">
        <v>8.5299999999999994</v>
      </c>
      <c r="K116" s="7">
        <v>107</v>
      </c>
      <c r="L116" s="27">
        <v>8.5299999999999994</v>
      </c>
      <c r="Q116" s="65">
        <v>107</v>
      </c>
      <c r="R116" s="66">
        <v>15.7805</v>
      </c>
      <c r="T116" s="65">
        <v>107</v>
      </c>
      <c r="U116" s="66">
        <v>15.7805</v>
      </c>
    </row>
    <row r="117" spans="1:21" ht="15.75" x14ac:dyDescent="0.25">
      <c r="A117" s="5">
        <v>108</v>
      </c>
      <c r="B117" s="27">
        <v>8.6</v>
      </c>
      <c r="K117" s="7">
        <v>108</v>
      </c>
      <c r="L117" s="27">
        <v>8.6</v>
      </c>
      <c r="Q117" s="65">
        <v>108</v>
      </c>
      <c r="R117" s="66">
        <v>15.91</v>
      </c>
      <c r="T117" s="65">
        <v>108</v>
      </c>
      <c r="U117" s="66">
        <v>15.91</v>
      </c>
    </row>
    <row r="118" spans="1:21" ht="15.75" x14ac:dyDescent="0.25">
      <c r="A118" s="5">
        <v>109</v>
      </c>
      <c r="B118" s="27">
        <v>8.67</v>
      </c>
      <c r="K118" s="7">
        <v>109</v>
      </c>
      <c r="L118" s="27">
        <v>8.67</v>
      </c>
      <c r="Q118" s="65">
        <v>109</v>
      </c>
      <c r="R118" s="66">
        <v>16.0395</v>
      </c>
      <c r="T118" s="65">
        <v>109</v>
      </c>
      <c r="U118" s="66">
        <v>16.0395</v>
      </c>
    </row>
    <row r="119" spans="1:21" ht="15.75" x14ac:dyDescent="0.25">
      <c r="A119" s="5">
        <v>110</v>
      </c>
      <c r="B119" s="27">
        <v>8.73</v>
      </c>
      <c r="K119" s="7">
        <v>110</v>
      </c>
      <c r="L119" s="27">
        <v>8.73</v>
      </c>
      <c r="Q119" s="65">
        <v>110</v>
      </c>
      <c r="R119" s="66">
        <v>16.150500000000001</v>
      </c>
      <c r="T119" s="65">
        <v>110</v>
      </c>
      <c r="U119" s="66">
        <v>16.150500000000001</v>
      </c>
    </row>
    <row r="120" spans="1:21" ht="15.75" x14ac:dyDescent="0.25">
      <c r="A120" s="5">
        <v>111</v>
      </c>
      <c r="B120" s="27">
        <v>8.8000000000000007</v>
      </c>
      <c r="K120" s="7">
        <v>111</v>
      </c>
      <c r="L120" s="27">
        <v>8.8000000000000007</v>
      </c>
      <c r="Q120" s="65">
        <v>111</v>
      </c>
      <c r="R120" s="66">
        <v>16.28</v>
      </c>
      <c r="T120" s="65">
        <v>111</v>
      </c>
      <c r="U120" s="66">
        <v>16.28</v>
      </c>
    </row>
    <row r="121" spans="1:21" ht="15.75" x14ac:dyDescent="0.25">
      <c r="A121" s="5">
        <v>112</v>
      </c>
      <c r="B121" s="27">
        <v>8.8699999999999992</v>
      </c>
      <c r="K121" s="7">
        <v>112</v>
      </c>
      <c r="L121" s="27">
        <v>8.8699999999999992</v>
      </c>
      <c r="Q121" s="65">
        <v>112</v>
      </c>
      <c r="R121" s="66">
        <v>16.409499999999998</v>
      </c>
      <c r="T121" s="65">
        <v>112</v>
      </c>
      <c r="U121" s="66">
        <v>16.409499999999998</v>
      </c>
    </row>
    <row r="122" spans="1:21" ht="15.75" x14ac:dyDescent="0.25">
      <c r="A122" s="5">
        <v>113</v>
      </c>
      <c r="B122" s="27">
        <v>8.93</v>
      </c>
      <c r="K122" s="7">
        <v>113</v>
      </c>
      <c r="L122" s="27">
        <v>8.93</v>
      </c>
      <c r="Q122" s="65">
        <v>113</v>
      </c>
      <c r="R122" s="66">
        <v>16.520500000000002</v>
      </c>
      <c r="T122" s="65">
        <v>113</v>
      </c>
      <c r="U122" s="66">
        <v>16.520500000000002</v>
      </c>
    </row>
    <row r="123" spans="1:21" ht="15.75" x14ac:dyDescent="0.25">
      <c r="A123" s="5">
        <v>114</v>
      </c>
      <c r="B123" s="27">
        <v>9</v>
      </c>
      <c r="K123" s="7">
        <v>114</v>
      </c>
      <c r="L123" s="27">
        <v>9</v>
      </c>
      <c r="Q123" s="65">
        <v>114</v>
      </c>
      <c r="R123" s="66">
        <v>16.650000000000002</v>
      </c>
      <c r="T123" s="65">
        <v>114</v>
      </c>
      <c r="U123" s="66">
        <v>16.650000000000002</v>
      </c>
    </row>
    <row r="124" spans="1:21" ht="15.75" x14ac:dyDescent="0.25">
      <c r="A124" s="5">
        <v>115</v>
      </c>
      <c r="B124" s="27">
        <v>9.07</v>
      </c>
      <c r="K124" s="7">
        <v>115</v>
      </c>
      <c r="L124" s="27">
        <v>9.07</v>
      </c>
      <c r="Q124" s="65">
        <v>115</v>
      </c>
      <c r="R124" s="66">
        <v>16.779500000000002</v>
      </c>
      <c r="T124" s="65">
        <v>115</v>
      </c>
      <c r="U124" s="66">
        <v>16.779500000000002</v>
      </c>
    </row>
    <row r="125" spans="1:21" ht="15.75" x14ac:dyDescent="0.25">
      <c r="A125" s="5">
        <v>116</v>
      </c>
      <c r="B125" s="27">
        <v>9.1300000000000008</v>
      </c>
      <c r="K125" s="7">
        <v>116</v>
      </c>
      <c r="L125" s="27">
        <v>9.1300000000000008</v>
      </c>
      <c r="Q125" s="65">
        <v>116</v>
      </c>
      <c r="R125" s="66">
        <v>16.890500000000003</v>
      </c>
      <c r="T125" s="65">
        <v>116</v>
      </c>
      <c r="U125" s="66">
        <v>16.890500000000003</v>
      </c>
    </row>
    <row r="126" spans="1:21" ht="15.75" x14ac:dyDescent="0.25">
      <c r="A126" s="5">
        <v>117</v>
      </c>
      <c r="B126" s="27">
        <v>9.1999999999999993</v>
      </c>
      <c r="K126" s="7">
        <v>117</v>
      </c>
      <c r="L126" s="27">
        <v>9.1999999999999993</v>
      </c>
      <c r="Q126" s="65">
        <v>117</v>
      </c>
      <c r="R126" s="66">
        <v>17.02</v>
      </c>
      <c r="T126" s="65">
        <v>117</v>
      </c>
      <c r="U126" s="66">
        <v>17.02</v>
      </c>
    </row>
    <row r="127" spans="1:21" ht="15.75" x14ac:dyDescent="0.25">
      <c r="A127" s="5">
        <v>118</v>
      </c>
      <c r="B127" s="27">
        <v>9.27</v>
      </c>
      <c r="K127" s="7">
        <v>118</v>
      </c>
      <c r="L127" s="27">
        <v>9.27</v>
      </c>
      <c r="Q127" s="65">
        <v>118</v>
      </c>
      <c r="R127" s="66">
        <v>17.1495</v>
      </c>
      <c r="T127" s="65">
        <v>118</v>
      </c>
      <c r="U127" s="66">
        <v>17.1495</v>
      </c>
    </row>
    <row r="128" spans="1:21" ht="15.75" x14ac:dyDescent="0.25">
      <c r="A128" s="5">
        <v>119</v>
      </c>
      <c r="B128" s="27">
        <v>9.33</v>
      </c>
      <c r="K128" s="7">
        <v>119</v>
      </c>
      <c r="L128" s="27">
        <v>9.33</v>
      </c>
      <c r="Q128" s="65">
        <v>119</v>
      </c>
      <c r="R128" s="66">
        <v>17.2605</v>
      </c>
      <c r="T128" s="65">
        <v>119</v>
      </c>
      <c r="U128" s="66">
        <v>17.2605</v>
      </c>
    </row>
    <row r="129" spans="1:21" ht="15.75" x14ac:dyDescent="0.25">
      <c r="A129" s="5">
        <v>120</v>
      </c>
      <c r="B129" s="27">
        <v>9.4</v>
      </c>
      <c r="K129" s="7">
        <v>120</v>
      </c>
      <c r="L129" s="27">
        <v>9.4</v>
      </c>
      <c r="Q129" s="65">
        <v>120</v>
      </c>
      <c r="R129" s="66">
        <v>17.39</v>
      </c>
      <c r="T129" s="65">
        <v>120</v>
      </c>
      <c r="U129" s="66">
        <v>17.39</v>
      </c>
    </row>
  </sheetData>
  <mergeCells count="9">
    <mergeCell ref="A5:H5"/>
    <mergeCell ref="K1:R1"/>
    <mergeCell ref="K2:R2"/>
    <mergeCell ref="K3:R3"/>
    <mergeCell ref="K4:R4"/>
    <mergeCell ref="A1:H1"/>
    <mergeCell ref="A2:H2"/>
    <mergeCell ref="A3:H3"/>
    <mergeCell ref="A4:H4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Single Premium Calculator</vt:lpstr>
      <vt:lpstr>Life Rates</vt:lpstr>
      <vt:lpstr>Calculations</vt:lpstr>
      <vt:lpstr>Disability Rate Table</vt:lpstr>
    </vt:vector>
  </TitlesOfParts>
  <Company>Securian Financial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J. Stout</dc:creator>
  <cp:lastModifiedBy>Keller, Katie M.</cp:lastModifiedBy>
  <dcterms:created xsi:type="dcterms:W3CDTF">2017-04-11T23:08:56Z</dcterms:created>
  <dcterms:modified xsi:type="dcterms:W3CDTF">2020-09-25T14:56:15Z</dcterms:modified>
</cp:coreProperties>
</file>